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75" windowWidth="9420" windowHeight="8565" tabRatio="707" activeTab="1"/>
  </bookViews>
  <sheets>
    <sheet name="N" sheetId="18" r:id="rId1"/>
    <sheet name="hnojenie" sheetId="5" r:id="rId2"/>
    <sheet name="hnojenie dlhodobo" sheetId="20" r:id="rId3"/>
    <sheet name="KNO3" sheetId="12" r:id="rId4"/>
    <sheet name="KH2PO4" sheetId="13" r:id="rId5"/>
    <sheet name="K2SO4" sheetId="14" r:id="rId6"/>
    <sheet name="MgSO4" sheetId="15" r:id="rId7"/>
    <sheet name="Tenso" sheetId="16" r:id="rId8"/>
    <sheet name="MAKRO" sheetId="17" r:id="rId9"/>
    <sheet name="pomocne tabulky" sheetId="2" state="hidden" r:id="rId10"/>
    <sheet name="#7" sheetId="19" r:id="rId11"/>
    <sheet name="Legenda" sheetId="1" r:id="rId12"/>
    <sheet name="History rev." sheetId="10" r:id="rId13"/>
    <sheet name="Zdroje a inšpirácie" sheetId="3" r:id="rId14"/>
  </sheets>
  <definedNames>
    <definedName name="_xlnm.Print_Area" localSheetId="10">'#7'!$A$1:$AX$52</definedName>
    <definedName name="_xlnm.Print_Area" localSheetId="1">hnojenie!$A$1:$P$35</definedName>
    <definedName name="_xlnm.Print_Area" localSheetId="5">K2SO4!$A$1:$AX$52</definedName>
    <definedName name="_xlnm.Print_Area" localSheetId="4">KH2PO4!$A$1:$AX$52</definedName>
    <definedName name="_xlnm.Print_Area" localSheetId="3">'KNO3'!$A$1:$AX$52</definedName>
    <definedName name="_xlnm.Print_Area" localSheetId="11">Legenda!$A$1:$G$38</definedName>
    <definedName name="_xlnm.Print_Area" localSheetId="8">MAKRO!$A$1:$AX$52</definedName>
    <definedName name="_xlnm.Print_Area" localSheetId="6">MgSO4!$A$1:$AX$52</definedName>
    <definedName name="_xlnm.Print_Area" localSheetId="0">N!$A$1:$I$50</definedName>
    <definedName name="_xlnm.Print_Area" localSheetId="9">'pomocne tabulky'!$I$2</definedName>
    <definedName name="_xlnm.Print_Area" localSheetId="7">Tenso!$A$1:$AX$52</definedName>
  </definedNames>
  <calcPr calcId="145621"/>
</workbook>
</file>

<file path=xl/calcChain.xml><?xml version="1.0" encoding="utf-8"?>
<calcChain xmlns="http://schemas.openxmlformats.org/spreadsheetml/2006/main">
  <c r="N7" i="20" l="1"/>
  <c r="M7" i="20"/>
  <c r="L7" i="20"/>
  <c r="N2" i="20"/>
  <c r="N46" i="20" s="1"/>
  <c r="M2" i="20"/>
  <c r="L2" i="20"/>
  <c r="C2" i="20"/>
  <c r="G2" i="20"/>
  <c r="G7" i="20"/>
  <c r="I7" i="20"/>
  <c r="H7" i="20"/>
  <c r="I2" i="20"/>
  <c r="I45" i="20" s="1"/>
  <c r="H2" i="20"/>
  <c r="D2" i="20"/>
  <c r="D31" i="20" s="1"/>
  <c r="B2" i="20"/>
  <c r="G8" i="20" l="1"/>
  <c r="N33" i="20"/>
  <c r="N37" i="20"/>
  <c r="N41" i="20"/>
  <c r="N45" i="20"/>
  <c r="N32" i="20"/>
  <c r="N36" i="20"/>
  <c r="N40" i="20"/>
  <c r="N44" i="20"/>
  <c r="H8" i="20"/>
  <c r="M8" i="20"/>
  <c r="N31" i="20"/>
  <c r="N35" i="20"/>
  <c r="N39" i="20"/>
  <c r="N43" i="20"/>
  <c r="L31" i="20"/>
  <c r="L8" i="20"/>
  <c r="M31" i="20"/>
  <c r="N8" i="20"/>
  <c r="N34" i="20"/>
  <c r="N38" i="20"/>
  <c r="N42" i="20"/>
  <c r="I31" i="20"/>
  <c r="I34" i="20"/>
  <c r="I38" i="20"/>
  <c r="I42" i="20"/>
  <c r="I46" i="20"/>
  <c r="I35" i="20"/>
  <c r="I39" i="20"/>
  <c r="I43" i="20"/>
  <c r="I32" i="20"/>
  <c r="I36" i="20"/>
  <c r="I40" i="20"/>
  <c r="I44" i="20"/>
  <c r="I8" i="20"/>
  <c r="H31" i="20"/>
  <c r="I33" i="20"/>
  <c r="I37" i="20"/>
  <c r="I41" i="20"/>
  <c r="G31" i="20"/>
  <c r="B8" i="20"/>
  <c r="D43" i="20"/>
  <c r="D39" i="20"/>
  <c r="D35" i="20"/>
  <c r="D32" i="20"/>
  <c r="D46" i="20"/>
  <c r="D42" i="20"/>
  <c r="D38" i="20"/>
  <c r="D34" i="20"/>
  <c r="D8" i="20"/>
  <c r="D45" i="20"/>
  <c r="D41" i="20"/>
  <c r="D37" i="20"/>
  <c r="D33" i="20"/>
  <c r="C8" i="20"/>
  <c r="D44" i="20"/>
  <c r="D40" i="20"/>
  <c r="D36" i="20"/>
  <c r="C31" i="20"/>
  <c r="B31" i="20"/>
  <c r="P22" i="5" l="1"/>
  <c r="I6" i="20" s="1"/>
  <c r="P23" i="5"/>
  <c r="D6" i="20" s="1"/>
  <c r="P24" i="5"/>
  <c r="P25" i="5"/>
  <c r="P21" i="5"/>
  <c r="P5" i="5"/>
  <c r="P6" i="5"/>
  <c r="P7" i="5"/>
  <c r="P8" i="5"/>
  <c r="P9" i="5"/>
  <c r="P10" i="5"/>
  <c r="N6" i="20" s="1"/>
  <c r="P11" i="5"/>
  <c r="P12" i="5"/>
  <c r="P13" i="5"/>
  <c r="P14" i="5"/>
  <c r="P15" i="5"/>
  <c r="P16" i="5"/>
  <c r="P17" i="5"/>
  <c r="P18" i="5"/>
  <c r="P19" i="5"/>
  <c r="P20" i="5"/>
  <c r="P4" i="5"/>
  <c r="AX78" i="19"/>
  <c r="AX30" i="19" s="1"/>
  <c r="AW78" i="19"/>
  <c r="AV78" i="19"/>
  <c r="D44" i="19"/>
  <c r="D40" i="19"/>
  <c r="H34" i="19"/>
  <c r="H33" i="19"/>
  <c r="AT32" i="19"/>
  <c r="AS32" i="19"/>
  <c r="H32" i="19"/>
  <c r="AT31" i="19"/>
  <c r="AS31" i="19"/>
  <c r="AI31" i="19"/>
  <c r="H31" i="19"/>
  <c r="AT30" i="19"/>
  <c r="AS30" i="19"/>
  <c r="AJ30" i="19"/>
  <c r="H30" i="19"/>
  <c r="AK29" i="19"/>
  <c r="H29" i="19"/>
  <c r="AF28" i="19"/>
  <c r="I28" i="19"/>
  <c r="H28" i="19"/>
  <c r="AF27" i="19"/>
  <c r="I27" i="19"/>
  <c r="H27" i="19"/>
  <c r="AF26" i="19"/>
  <c r="I26" i="19"/>
  <c r="H26" i="19"/>
  <c r="AF25" i="19"/>
  <c r="I25" i="19"/>
  <c r="H25" i="19"/>
  <c r="AF24" i="19"/>
  <c r="I24" i="19"/>
  <c r="H24" i="19"/>
  <c r="AF23" i="19"/>
  <c r="I23" i="19"/>
  <c r="H23" i="19"/>
  <c r="AF22" i="19"/>
  <c r="I22" i="19"/>
  <c r="H22" i="19"/>
  <c r="B22" i="19"/>
  <c r="AF21" i="19"/>
  <c r="I21" i="19"/>
  <c r="H21" i="19"/>
  <c r="F21" i="19"/>
  <c r="B21" i="19"/>
  <c r="AF20" i="19"/>
  <c r="I20" i="19"/>
  <c r="H20" i="19"/>
  <c r="F20" i="19"/>
  <c r="B20" i="19"/>
  <c r="AA9" i="19" s="1"/>
  <c r="I19" i="19"/>
  <c r="H19" i="19"/>
  <c r="F19" i="19"/>
  <c r="B19" i="19"/>
  <c r="Z9" i="19" s="1"/>
  <c r="AE18" i="19"/>
  <c r="I18" i="19"/>
  <c r="H18" i="19"/>
  <c r="F18" i="19"/>
  <c r="B18" i="19"/>
  <c r="AN17" i="19"/>
  <c r="AM17" i="19"/>
  <c r="AL17" i="19"/>
  <c r="AF17" i="19"/>
  <c r="AE17" i="19"/>
  <c r="AD17" i="19"/>
  <c r="I17" i="19"/>
  <c r="H17" i="19"/>
  <c r="F17" i="19"/>
  <c r="A17" i="19"/>
  <c r="X2" i="19" s="1"/>
  <c r="AN16" i="19"/>
  <c r="AM16" i="19"/>
  <c r="AF16" i="19"/>
  <c r="AE16" i="19"/>
  <c r="AD16" i="19"/>
  <c r="I16" i="19"/>
  <c r="H16" i="19"/>
  <c r="F16" i="19"/>
  <c r="A16" i="19"/>
  <c r="AT15" i="19"/>
  <c r="AS15" i="19"/>
  <c r="AN15" i="19"/>
  <c r="AI15" i="19"/>
  <c r="I15" i="19"/>
  <c r="H15" i="19"/>
  <c r="F15" i="19"/>
  <c r="A15" i="19"/>
  <c r="AK14" i="19"/>
  <c r="I14" i="19"/>
  <c r="H14" i="19"/>
  <c r="F14" i="19"/>
  <c r="A14" i="19"/>
  <c r="AN13" i="19"/>
  <c r="AM13" i="19"/>
  <c r="AF13" i="19"/>
  <c r="AE13" i="19"/>
  <c r="AD13" i="19"/>
  <c r="I13" i="19"/>
  <c r="H13" i="19"/>
  <c r="F13" i="19"/>
  <c r="A13" i="19"/>
  <c r="AN12" i="19"/>
  <c r="AM12" i="19"/>
  <c r="AF12" i="19"/>
  <c r="AE12" i="19"/>
  <c r="AD12" i="19"/>
  <c r="I12" i="19"/>
  <c r="H12" i="19"/>
  <c r="F12" i="19"/>
  <c r="A12" i="19"/>
  <c r="AT11" i="19"/>
  <c r="AS11" i="19"/>
  <c r="AN11" i="19"/>
  <c r="AJ11" i="19"/>
  <c r="I11" i="19"/>
  <c r="H11" i="19"/>
  <c r="F11" i="19"/>
  <c r="A11" i="19"/>
  <c r="AN10" i="19"/>
  <c r="AM10" i="19"/>
  <c r="AK10" i="19"/>
  <c r="AF10" i="19"/>
  <c r="AE10" i="19"/>
  <c r="AD10" i="19"/>
  <c r="I10" i="19"/>
  <c r="H10" i="19"/>
  <c r="F10" i="19"/>
  <c r="A10" i="19"/>
  <c r="AQ9" i="19"/>
  <c r="AP9" i="19"/>
  <c r="AO9" i="19"/>
  <c r="AN9" i="19"/>
  <c r="AM9" i="19"/>
  <c r="AL9" i="19"/>
  <c r="AK9" i="19"/>
  <c r="AG9" i="19"/>
  <c r="AF9" i="19"/>
  <c r="AE9" i="19"/>
  <c r="AD9" i="19"/>
  <c r="AC9" i="19"/>
  <c r="AB9" i="19"/>
  <c r="Y9" i="19"/>
  <c r="I9" i="19"/>
  <c r="H9" i="19"/>
  <c r="F9" i="19"/>
  <c r="A9" i="19"/>
  <c r="AK8" i="19"/>
  <c r="I8" i="19"/>
  <c r="H8" i="19"/>
  <c r="F8" i="19"/>
  <c r="A8" i="19"/>
  <c r="AT7" i="19"/>
  <c r="AS7" i="19"/>
  <c r="AR7" i="19"/>
  <c r="AQ7" i="19"/>
  <c r="AP7" i="19"/>
  <c r="AO7" i="19"/>
  <c r="AN7" i="19"/>
  <c r="AM7" i="19"/>
  <c r="AL7" i="19"/>
  <c r="AK7" i="19"/>
  <c r="AI7" i="19"/>
  <c r="AH7" i="19"/>
  <c r="AF7" i="19"/>
  <c r="I7" i="19"/>
  <c r="H7" i="19"/>
  <c r="F7" i="19"/>
  <c r="A7" i="19"/>
  <c r="AT6" i="19"/>
  <c r="AS6" i="19"/>
  <c r="AK6" i="19"/>
  <c r="I6" i="19"/>
  <c r="H6" i="19"/>
  <c r="F6" i="19"/>
  <c r="A6" i="19"/>
  <c r="AT5" i="19"/>
  <c r="AS5" i="19"/>
  <c r="AL5" i="19"/>
  <c r="AK5" i="19"/>
  <c r="AJ5" i="19"/>
  <c r="AI5" i="19"/>
  <c r="I5" i="19"/>
  <c r="H5" i="19"/>
  <c r="F5" i="19"/>
  <c r="A5" i="19"/>
  <c r="AN4" i="19"/>
  <c r="AM4" i="19"/>
  <c r="AK4" i="19"/>
  <c r="I4" i="19"/>
  <c r="H4" i="19"/>
  <c r="F4" i="19"/>
  <c r="A4" i="19"/>
  <c r="AN3" i="19"/>
  <c r="AM3" i="19"/>
  <c r="AK3" i="19"/>
  <c r="AF3" i="19"/>
  <c r="AD3" i="19"/>
  <c r="I3" i="19"/>
  <c r="H3" i="19"/>
  <c r="F3" i="19"/>
  <c r="A3" i="19"/>
  <c r="AT2" i="19"/>
  <c r="AS2" i="19"/>
  <c r="AR2" i="19"/>
  <c r="AQ2" i="19"/>
  <c r="AP2" i="19"/>
  <c r="AO2" i="19"/>
  <c r="AN2" i="19"/>
  <c r="AM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AX33" i="19" l="1"/>
  <c r="AX19" i="19"/>
  <c r="AX32" i="19"/>
  <c r="AX27" i="19"/>
  <c r="AX28" i="19"/>
  <c r="AX3" i="19"/>
  <c r="AX7" i="19"/>
  <c r="AX8" i="19"/>
  <c r="AX11" i="19"/>
  <c r="AX14" i="19"/>
  <c r="AX23" i="19"/>
  <c r="AX24" i="19"/>
  <c r="AX29" i="19"/>
  <c r="AX13" i="19"/>
  <c r="AX31" i="19"/>
  <c r="AX16" i="19"/>
  <c r="AX20" i="19"/>
  <c r="F40" i="19"/>
  <c r="AX5" i="19"/>
  <c r="AX15" i="19"/>
  <c r="AX21" i="19"/>
  <c r="AX22" i="19"/>
  <c r="AX26" i="19"/>
  <c r="AX4" i="19"/>
  <c r="AX6" i="19"/>
  <c r="AX9" i="19"/>
  <c r="AX10" i="19"/>
  <c r="AX12" i="19"/>
  <c r="AX17" i="19"/>
  <c r="AX18" i="19"/>
  <c r="AX25" i="19"/>
  <c r="J16" i="5"/>
  <c r="O41" i="5"/>
  <c r="J17" i="5"/>
  <c r="J18" i="5"/>
  <c r="J19" i="5"/>
  <c r="J20" i="5"/>
  <c r="J21" i="5"/>
  <c r="J22" i="5"/>
  <c r="J23" i="5"/>
  <c r="O40" i="5"/>
  <c r="J24" i="5"/>
  <c r="J25" i="5"/>
  <c r="J26" i="5"/>
  <c r="AU7" i="19" l="1"/>
  <c r="AU18" i="19"/>
  <c r="O38" i="5"/>
  <c r="O39" i="5"/>
  <c r="H34" i="15"/>
  <c r="H33" i="15"/>
  <c r="AT32" i="15"/>
  <c r="AS32" i="15"/>
  <c r="H32" i="15"/>
  <c r="AT31" i="15"/>
  <c r="AS31" i="15"/>
  <c r="AI31" i="15"/>
  <c r="H31" i="15"/>
  <c r="AT30" i="15"/>
  <c r="AS30" i="15"/>
  <c r="AJ30" i="15"/>
  <c r="H30" i="15"/>
  <c r="AK29" i="15"/>
  <c r="H29" i="15"/>
  <c r="AF28" i="15"/>
  <c r="I28" i="15"/>
  <c r="H28" i="15"/>
  <c r="AF27" i="15"/>
  <c r="I27" i="15"/>
  <c r="H27" i="15"/>
  <c r="AF26" i="15"/>
  <c r="I26" i="15"/>
  <c r="H26" i="15"/>
  <c r="AF25" i="15"/>
  <c r="I25" i="15"/>
  <c r="H25" i="15"/>
  <c r="AF24" i="15"/>
  <c r="I24" i="15"/>
  <c r="H24" i="15"/>
  <c r="AF23" i="15"/>
  <c r="I23" i="15"/>
  <c r="H23" i="15"/>
  <c r="AF22" i="15"/>
  <c r="I22" i="15"/>
  <c r="H22" i="15"/>
  <c r="AF21" i="15"/>
  <c r="I21" i="15"/>
  <c r="H21" i="15"/>
  <c r="AF20" i="15"/>
  <c r="I20" i="15"/>
  <c r="H20" i="15"/>
  <c r="I19" i="15"/>
  <c r="H19" i="15"/>
  <c r="AE18" i="15"/>
  <c r="I18" i="15"/>
  <c r="H18" i="15"/>
  <c r="AN17" i="15"/>
  <c r="AM17" i="15"/>
  <c r="AL17" i="15"/>
  <c r="AF17" i="15"/>
  <c r="AE17" i="15"/>
  <c r="AD17" i="15"/>
  <c r="I17" i="15"/>
  <c r="H17" i="15"/>
  <c r="AN16" i="15"/>
  <c r="AM16" i="15"/>
  <c r="AF16" i="15"/>
  <c r="AE16" i="15"/>
  <c r="AD16" i="15"/>
  <c r="I16" i="15"/>
  <c r="H16" i="15"/>
  <c r="AT15" i="15"/>
  <c r="AS15" i="15"/>
  <c r="AN15" i="15"/>
  <c r="AI15" i="15"/>
  <c r="I15" i="15"/>
  <c r="H15" i="15"/>
  <c r="AK14" i="15"/>
  <c r="I14" i="15"/>
  <c r="H14" i="15"/>
  <c r="AN13" i="15"/>
  <c r="AM13" i="15"/>
  <c r="AF13" i="15"/>
  <c r="AE13" i="15"/>
  <c r="AD13" i="15"/>
  <c r="I13" i="15"/>
  <c r="H13" i="15"/>
  <c r="AN12" i="15"/>
  <c r="AM12" i="15"/>
  <c r="AF12" i="15"/>
  <c r="AE12" i="15"/>
  <c r="AD12" i="15"/>
  <c r="I12" i="15"/>
  <c r="H12" i="15"/>
  <c r="AT11" i="15"/>
  <c r="AS11" i="15"/>
  <c r="AN11" i="15"/>
  <c r="AJ11" i="15"/>
  <c r="I11" i="15"/>
  <c r="H11" i="15"/>
  <c r="AN10" i="15"/>
  <c r="AM10" i="15"/>
  <c r="AK10" i="15"/>
  <c r="AF10" i="15"/>
  <c r="AE10" i="15"/>
  <c r="AD10" i="15"/>
  <c r="I10" i="15"/>
  <c r="H10" i="15"/>
  <c r="AQ9" i="15"/>
  <c r="AP9" i="15"/>
  <c r="AO9" i="15"/>
  <c r="AN9" i="15"/>
  <c r="AM9" i="15"/>
  <c r="AL9" i="15"/>
  <c r="AK9" i="15"/>
  <c r="AG9" i="15"/>
  <c r="AF9" i="15"/>
  <c r="AE9" i="15"/>
  <c r="AD9" i="15"/>
  <c r="I9" i="15"/>
  <c r="H9" i="15"/>
  <c r="AK8" i="15"/>
  <c r="I8" i="15"/>
  <c r="H8" i="15"/>
  <c r="AT7" i="15"/>
  <c r="AS7" i="15"/>
  <c r="AR7" i="15"/>
  <c r="AQ7" i="15"/>
  <c r="AP7" i="15"/>
  <c r="AO7" i="15"/>
  <c r="AN7" i="15"/>
  <c r="AM7" i="15"/>
  <c r="AL7" i="15"/>
  <c r="AK7" i="15"/>
  <c r="AI7" i="15"/>
  <c r="AH7" i="15"/>
  <c r="AF7" i="15"/>
  <c r="I7" i="15"/>
  <c r="H7" i="15"/>
  <c r="AT6" i="15"/>
  <c r="AS6" i="15"/>
  <c r="AK6" i="15"/>
  <c r="I6" i="15"/>
  <c r="H6" i="15"/>
  <c r="AT5" i="15"/>
  <c r="AS5" i="15"/>
  <c r="AL5" i="15"/>
  <c r="AK5" i="15"/>
  <c r="AJ5" i="15"/>
  <c r="AI5" i="15"/>
  <c r="I5" i="15"/>
  <c r="H5" i="15"/>
  <c r="AN4" i="15"/>
  <c r="AM4" i="15"/>
  <c r="AK4" i="15"/>
  <c r="I4" i="15"/>
  <c r="H4" i="15"/>
  <c r="AN3" i="15"/>
  <c r="AM3" i="15"/>
  <c r="AK3" i="15"/>
  <c r="AF3" i="15"/>
  <c r="AD3" i="15"/>
  <c r="I3" i="15"/>
  <c r="H3" i="15"/>
  <c r="AT2" i="15"/>
  <c r="AS2" i="15"/>
  <c r="AR2" i="15"/>
  <c r="AQ2" i="15"/>
  <c r="AP2" i="15"/>
  <c r="AO2" i="15"/>
  <c r="AN2" i="15"/>
  <c r="AM2" i="15"/>
  <c r="U2" i="15"/>
  <c r="T2" i="15"/>
  <c r="S2" i="15"/>
  <c r="R2" i="15"/>
  <c r="Q2" i="15"/>
  <c r="P2" i="15"/>
  <c r="O2" i="15"/>
  <c r="N2" i="15"/>
  <c r="M2" i="15"/>
  <c r="L2" i="15"/>
  <c r="K2" i="15"/>
  <c r="J2" i="15"/>
  <c r="J2" i="14"/>
  <c r="K2" i="14"/>
  <c r="L2" i="14"/>
  <c r="M2" i="14"/>
  <c r="N2" i="14"/>
  <c r="O2" i="14"/>
  <c r="P2" i="14"/>
  <c r="Q2" i="14"/>
  <c r="R2" i="14"/>
  <c r="S2" i="14"/>
  <c r="T2" i="14"/>
  <c r="U2" i="14"/>
  <c r="AM2" i="14"/>
  <c r="AN2" i="14"/>
  <c r="AO2" i="14"/>
  <c r="AP2" i="14"/>
  <c r="AQ2" i="14"/>
  <c r="AR2" i="14"/>
  <c r="AS2" i="14"/>
  <c r="AT2" i="14"/>
  <c r="H3" i="14"/>
  <c r="I3" i="14"/>
  <c r="AD3" i="14"/>
  <c r="AF3" i="14"/>
  <c r="AK3" i="14"/>
  <c r="AM3" i="14"/>
  <c r="AN3" i="14"/>
  <c r="H4" i="14"/>
  <c r="I4" i="14"/>
  <c r="AK4" i="14"/>
  <c r="AM4" i="14"/>
  <c r="AN4" i="14"/>
  <c r="H5" i="14"/>
  <c r="I5" i="14"/>
  <c r="AI5" i="14"/>
  <c r="AJ5" i="14"/>
  <c r="AK5" i="14"/>
  <c r="AL5" i="14"/>
  <c r="AS5" i="14"/>
  <c r="AT5" i="14"/>
  <c r="H6" i="14"/>
  <c r="I6" i="14"/>
  <c r="AK6" i="14"/>
  <c r="AS6" i="14"/>
  <c r="AT6" i="14"/>
  <c r="H7" i="14"/>
  <c r="I7" i="14"/>
  <c r="AF7" i="14"/>
  <c r="AH7" i="14"/>
  <c r="AI7" i="14"/>
  <c r="AK7" i="14"/>
  <c r="AL7" i="14"/>
  <c r="AM7" i="14"/>
  <c r="AN7" i="14"/>
  <c r="AO7" i="14"/>
  <c r="AP7" i="14"/>
  <c r="AQ7" i="14"/>
  <c r="AR7" i="14"/>
  <c r="AS7" i="14"/>
  <c r="AT7" i="14"/>
  <c r="H8" i="14"/>
  <c r="I8" i="14"/>
  <c r="AK8" i="14"/>
  <c r="H9" i="14"/>
  <c r="I9" i="14"/>
  <c r="AD9" i="14"/>
  <c r="AE9" i="14"/>
  <c r="AF9" i="14"/>
  <c r="AG9" i="14"/>
  <c r="AK9" i="14"/>
  <c r="AL9" i="14"/>
  <c r="AM9" i="14"/>
  <c r="AN9" i="14"/>
  <c r="AO9" i="14"/>
  <c r="AP9" i="14"/>
  <c r="AQ9" i="14"/>
  <c r="H10" i="14"/>
  <c r="I10" i="14"/>
  <c r="AD10" i="14"/>
  <c r="AE10" i="14"/>
  <c r="AF10" i="14"/>
  <c r="AK10" i="14"/>
  <c r="AM10" i="14"/>
  <c r="AN10" i="14"/>
  <c r="H11" i="14"/>
  <c r="I11" i="14"/>
  <c r="AJ11" i="14"/>
  <c r="AN11" i="14"/>
  <c r="AS11" i="14"/>
  <c r="AT11" i="14"/>
  <c r="H12" i="14"/>
  <c r="I12" i="14"/>
  <c r="AD12" i="14"/>
  <c r="AE12" i="14"/>
  <c r="AF12" i="14"/>
  <c r="AM12" i="14"/>
  <c r="AN12" i="14"/>
  <c r="H13" i="14"/>
  <c r="I13" i="14"/>
  <c r="AD13" i="14"/>
  <c r="AE13" i="14"/>
  <c r="AF13" i="14"/>
  <c r="AM13" i="14"/>
  <c r="AN13" i="14"/>
  <c r="H14" i="14"/>
  <c r="I14" i="14"/>
  <c r="AK14" i="14"/>
  <c r="H15" i="14"/>
  <c r="I15" i="14"/>
  <c r="AI15" i="14"/>
  <c r="AN15" i="14"/>
  <c r="AS15" i="14"/>
  <c r="AT15" i="14"/>
  <c r="H16" i="14"/>
  <c r="I16" i="14"/>
  <c r="AD16" i="14"/>
  <c r="AE16" i="14"/>
  <c r="AF16" i="14"/>
  <c r="AM16" i="14"/>
  <c r="AN16" i="14"/>
  <c r="H17" i="14"/>
  <c r="I17" i="14"/>
  <c r="AD17" i="14"/>
  <c r="AE17" i="14"/>
  <c r="AF17" i="14"/>
  <c r="AL17" i="14"/>
  <c r="AM17" i="14"/>
  <c r="AN17" i="14"/>
  <c r="H18" i="14"/>
  <c r="I18" i="14"/>
  <c r="AE18" i="14"/>
  <c r="H19" i="14"/>
  <c r="I19" i="14"/>
  <c r="H20" i="14"/>
  <c r="I20" i="14"/>
  <c r="AF20" i="14"/>
  <c r="H21" i="14"/>
  <c r="I21" i="14"/>
  <c r="AF21" i="14"/>
  <c r="H22" i="14"/>
  <c r="I22" i="14"/>
  <c r="AF22" i="14"/>
  <c r="H23" i="14"/>
  <c r="I23" i="14"/>
  <c r="AF23" i="14"/>
  <c r="H24" i="14"/>
  <c r="I24" i="14"/>
  <c r="AF24" i="14"/>
  <c r="H25" i="14"/>
  <c r="I25" i="14"/>
  <c r="AF25" i="14"/>
  <c r="H26" i="14"/>
  <c r="I26" i="14"/>
  <c r="AF26" i="14"/>
  <c r="H27" i="14"/>
  <c r="I27" i="14"/>
  <c r="AF27" i="14"/>
  <c r="H28" i="14"/>
  <c r="I28" i="14"/>
  <c r="AF28" i="14"/>
  <c r="H29" i="14"/>
  <c r="AK29" i="14"/>
  <c r="H30" i="14"/>
  <c r="AJ30" i="14"/>
  <c r="AS30" i="14"/>
  <c r="AT30" i="14"/>
  <c r="H31" i="14"/>
  <c r="AI31" i="14"/>
  <c r="AS31" i="14"/>
  <c r="AT31" i="14"/>
  <c r="H32" i="14"/>
  <c r="AS32" i="14"/>
  <c r="AT32" i="14"/>
  <c r="H33" i="14"/>
  <c r="H34" i="14"/>
  <c r="B22" i="17"/>
  <c r="AC9" i="17" s="1"/>
  <c r="B22" i="16"/>
  <c r="AC9" i="16" s="1"/>
  <c r="B22" i="15"/>
  <c r="AC9" i="15" s="1"/>
  <c r="B22" i="14"/>
  <c r="AC9" i="14" s="1"/>
  <c r="B22" i="13"/>
  <c r="AC9" i="13" s="1"/>
  <c r="B22" i="12"/>
  <c r="AC9" i="12" s="1"/>
  <c r="D23" i="2"/>
  <c r="E23" i="2" s="1"/>
  <c r="AG9" i="17"/>
  <c r="AG9" i="16"/>
  <c r="AG9" i="13"/>
  <c r="AG9" i="12"/>
  <c r="AU31" i="19" l="1"/>
  <c r="AU5" i="19"/>
  <c r="AU6" i="19"/>
  <c r="AV6" i="19" s="1"/>
  <c r="AU4" i="19"/>
  <c r="AV31" i="19"/>
  <c r="AW31" i="19"/>
  <c r="AV5" i="19"/>
  <c r="AW5" i="19"/>
  <c r="AV4" i="19"/>
  <c r="AW4" i="19"/>
  <c r="AW6" i="19"/>
  <c r="AV18" i="19"/>
  <c r="AW18" i="19"/>
  <c r="AV7" i="19"/>
  <c r="AW7" i="19"/>
  <c r="AU25" i="19"/>
  <c r="AU17" i="19"/>
  <c r="AU30" i="19"/>
  <c r="AU24" i="19"/>
  <c r="AU19" i="19"/>
  <c r="AU32" i="19"/>
  <c r="AU13" i="19"/>
  <c r="AU28" i="19"/>
  <c r="AU8" i="19"/>
  <c r="AU16" i="19"/>
  <c r="AU15" i="19"/>
  <c r="AU23" i="19"/>
  <c r="AU26" i="19"/>
  <c r="AU12" i="19"/>
  <c r="AU21" i="19"/>
  <c r="AU14" i="19"/>
  <c r="AU33" i="19"/>
  <c r="AU20" i="19"/>
  <c r="AU22" i="19"/>
  <c r="AU10" i="19"/>
  <c r="AU9" i="19"/>
  <c r="AU27" i="19"/>
  <c r="AU11" i="19"/>
  <c r="AU3" i="19"/>
  <c r="AU29" i="19"/>
  <c r="AE58" i="2"/>
  <c r="AE57" i="2"/>
  <c r="AE56" i="2"/>
  <c r="AE50" i="2"/>
  <c r="AE49" i="2"/>
  <c r="AE48" i="2"/>
  <c r="AE47" i="2"/>
  <c r="AE46" i="2"/>
  <c r="AE45" i="2"/>
  <c r="L45" i="2"/>
  <c r="AE44" i="2"/>
  <c r="L44" i="2"/>
  <c r="AE43" i="2"/>
  <c r="L43" i="2"/>
  <c r="AE42" i="2"/>
  <c r="L41" i="2"/>
  <c r="L40" i="2"/>
  <c r="L39" i="2"/>
  <c r="L38" i="2"/>
  <c r="L37" i="2"/>
  <c r="AE34" i="2"/>
  <c r="L34" i="2"/>
  <c r="I34" i="19" s="1"/>
  <c r="AE33" i="2"/>
  <c r="L33" i="2"/>
  <c r="I33" i="19" s="1"/>
  <c r="AE32" i="2"/>
  <c r="L32" i="2"/>
  <c r="I32" i="19" s="1"/>
  <c r="AE31" i="2"/>
  <c r="L31" i="2"/>
  <c r="I31" i="19" s="1"/>
  <c r="AE30" i="2"/>
  <c r="L30" i="2"/>
  <c r="Z21" i="2" s="1"/>
  <c r="AE29" i="2"/>
  <c r="L29" i="2"/>
  <c r="I29" i="19" s="1"/>
  <c r="AE28" i="2"/>
  <c r="AE27" i="2"/>
  <c r="AE26" i="2"/>
  <c r="AE25" i="2"/>
  <c r="AE24" i="2"/>
  <c r="N22" i="2"/>
  <c r="G22" i="2"/>
  <c r="D22" i="2"/>
  <c r="E22" i="2" s="1"/>
  <c r="G21" i="2"/>
  <c r="D21" i="2"/>
  <c r="E21" i="2" s="1"/>
  <c r="G20" i="2"/>
  <c r="E20" i="2"/>
  <c r="D20" i="2"/>
  <c r="G19" i="2"/>
  <c r="D19" i="2"/>
  <c r="E19" i="2" s="1"/>
  <c r="D18" i="2"/>
  <c r="D17" i="2"/>
  <c r="E17" i="19" s="1"/>
  <c r="D14" i="2"/>
  <c r="D13" i="2"/>
  <c r="D12" i="2"/>
  <c r="E12" i="19" s="1"/>
  <c r="D15" i="2" l="1"/>
  <c r="E15" i="19" s="1"/>
  <c r="V15" i="19" s="1"/>
  <c r="D16" i="2"/>
  <c r="E17" i="2"/>
  <c r="AE60" i="2"/>
  <c r="V28" i="2"/>
  <c r="Z20" i="2"/>
  <c r="X33" i="19"/>
  <c r="V5" i="19"/>
  <c r="V34" i="19"/>
  <c r="Z41" i="2"/>
  <c r="Z44" i="2"/>
  <c r="AE61" i="2"/>
  <c r="S7" i="19"/>
  <c r="S6" i="19"/>
  <c r="S5" i="19"/>
  <c r="S11" i="19"/>
  <c r="E13" i="2"/>
  <c r="E13" i="19"/>
  <c r="E16" i="2"/>
  <c r="E16" i="19"/>
  <c r="W31" i="19" s="1"/>
  <c r="E14" i="2"/>
  <c r="E14" i="19"/>
  <c r="U31" i="19" s="1"/>
  <c r="X5" i="19"/>
  <c r="X19" i="19"/>
  <c r="X6" i="19"/>
  <c r="X15" i="19"/>
  <c r="E18" i="2"/>
  <c r="D45" i="19"/>
  <c r="V35" i="2"/>
  <c r="I30" i="19"/>
  <c r="S30" i="19" s="1"/>
  <c r="I22" i="2"/>
  <c r="Z30" i="2"/>
  <c r="E12" i="2"/>
  <c r="Z22" i="2"/>
  <c r="V29" i="2"/>
  <c r="V34" i="2"/>
  <c r="Z43" i="2"/>
  <c r="Z55" i="2"/>
  <c r="Z65" i="2"/>
  <c r="AV10" i="19"/>
  <c r="AW10" i="19"/>
  <c r="AV23" i="19"/>
  <c r="AW23" i="19"/>
  <c r="AV24" i="19"/>
  <c r="AW24" i="19"/>
  <c r="AV11" i="19"/>
  <c r="AW11" i="19"/>
  <c r="AV22" i="19"/>
  <c r="AW22" i="19"/>
  <c r="AV21" i="19"/>
  <c r="AW21" i="19"/>
  <c r="AV15" i="19"/>
  <c r="AW15" i="19"/>
  <c r="AV13" i="19"/>
  <c r="AW13" i="19"/>
  <c r="AV30" i="19"/>
  <c r="AW30" i="19"/>
  <c r="AV27" i="19"/>
  <c r="AW27" i="19"/>
  <c r="AV20" i="19"/>
  <c r="AW20" i="19"/>
  <c r="AV12" i="19"/>
  <c r="AW12" i="19"/>
  <c r="AV16" i="19"/>
  <c r="AW16" i="19"/>
  <c r="AV32" i="19"/>
  <c r="AW32" i="19"/>
  <c r="AV17" i="19"/>
  <c r="AW17" i="19"/>
  <c r="AV3" i="19"/>
  <c r="AW3" i="19"/>
  <c r="AV14" i="19"/>
  <c r="AW14" i="19"/>
  <c r="AV28" i="19"/>
  <c r="AW28" i="19"/>
  <c r="AV29" i="19"/>
  <c r="AW29" i="19"/>
  <c r="AV9" i="19"/>
  <c r="AW9" i="19"/>
  <c r="AV33" i="19"/>
  <c r="AW33" i="19"/>
  <c r="AV26" i="19"/>
  <c r="AW26" i="19"/>
  <c r="AV8" i="19"/>
  <c r="AW8" i="19"/>
  <c r="AV19" i="19"/>
  <c r="AW19" i="19"/>
  <c r="AV25" i="19"/>
  <c r="AW25" i="19"/>
  <c r="I32" i="14"/>
  <c r="I32" i="15"/>
  <c r="Z52" i="2"/>
  <c r="Z66" i="2"/>
  <c r="Z19" i="2"/>
  <c r="I19" i="2" s="1"/>
  <c r="I20" i="2"/>
  <c r="N24" i="2"/>
  <c r="N23" i="2" s="1"/>
  <c r="I31" i="14"/>
  <c r="I31" i="15"/>
  <c r="Z32" i="2"/>
  <c r="Z42" i="2"/>
  <c r="Z53" i="2"/>
  <c r="Z63" i="2"/>
  <c r="I29" i="14"/>
  <c r="I29" i="15"/>
  <c r="I33" i="15"/>
  <c r="I33" i="14"/>
  <c r="Z33" i="2"/>
  <c r="L42" i="2"/>
  <c r="I21" i="2"/>
  <c r="I30" i="14"/>
  <c r="I30" i="15"/>
  <c r="Z31" i="2"/>
  <c r="I34" i="14"/>
  <c r="I34" i="15"/>
  <c r="Z54" i="2"/>
  <c r="Z64" i="2"/>
  <c r="Z11" i="2"/>
  <c r="D11" i="2"/>
  <c r="Z10" i="2"/>
  <c r="D10" i="2"/>
  <c r="E10" i="19" s="1"/>
  <c r="Q29" i="19" s="1"/>
  <c r="AE9" i="2"/>
  <c r="Z9" i="2"/>
  <c r="D9" i="2"/>
  <c r="E9" i="19" s="1"/>
  <c r="AE8" i="2"/>
  <c r="Z8" i="2"/>
  <c r="D8" i="2"/>
  <c r="E8" i="19" s="1"/>
  <c r="O29" i="19" s="1"/>
  <c r="AE7" i="2"/>
  <c r="AE17" i="2" s="1"/>
  <c r="D7" i="2"/>
  <c r="AE6" i="2"/>
  <c r="AE16" i="2" s="1"/>
  <c r="E6" i="2"/>
  <c r="D6" i="2"/>
  <c r="E6" i="19" s="1"/>
  <c r="AE5" i="2"/>
  <c r="AE19" i="2" s="1"/>
  <c r="D5" i="2"/>
  <c r="E5" i="2" s="1"/>
  <c r="AE4" i="2"/>
  <c r="D4" i="2"/>
  <c r="E4" i="2" s="1"/>
  <c r="AE3" i="2"/>
  <c r="D3" i="2"/>
  <c r="AX78" i="17"/>
  <c r="AW78" i="17"/>
  <c r="AV78" i="17"/>
  <c r="V31" i="19" l="1"/>
  <c r="V18" i="19"/>
  <c r="V6" i="19"/>
  <c r="E15" i="2"/>
  <c r="E7" i="2"/>
  <c r="E7" i="19"/>
  <c r="E3" i="2"/>
  <c r="E3" i="19"/>
  <c r="G4" i="2"/>
  <c r="E4" i="19"/>
  <c r="M18" i="19"/>
  <c r="M4" i="19"/>
  <c r="M5" i="19"/>
  <c r="E11" i="2"/>
  <c r="E11" i="19"/>
  <c r="AE15" i="2"/>
  <c r="E8" i="2"/>
  <c r="E9" i="2"/>
  <c r="E10" i="2"/>
  <c r="Q34" i="19"/>
  <c r="M29" i="19"/>
  <c r="G5" i="2"/>
  <c r="E5" i="19"/>
  <c r="O5" i="19"/>
  <c r="O7" i="19"/>
  <c r="O4" i="19"/>
  <c r="P5" i="19"/>
  <c r="P7" i="19"/>
  <c r="P15" i="19"/>
  <c r="Q9" i="19"/>
  <c r="Q4" i="19"/>
  <c r="Q5" i="19"/>
  <c r="Q6" i="19"/>
  <c r="U6" i="19"/>
  <c r="U5" i="19"/>
  <c r="U15" i="19"/>
  <c r="W34" i="19"/>
  <c r="W5" i="19"/>
  <c r="W15" i="19"/>
  <c r="W6" i="19"/>
  <c r="W3" i="19"/>
  <c r="T14" i="19"/>
  <c r="T8" i="19"/>
  <c r="U32" i="19"/>
  <c r="P31" i="19"/>
  <c r="AE20" i="2"/>
  <c r="AE21" i="2"/>
  <c r="AE13" i="2"/>
  <c r="AE12" i="2"/>
  <c r="AH3" i="2"/>
  <c r="AE11" i="2"/>
  <c r="AE14" i="2"/>
  <c r="D44" i="17"/>
  <c r="D40" i="17"/>
  <c r="I34" i="17"/>
  <c r="H34" i="17"/>
  <c r="AX33" i="17"/>
  <c r="I33" i="17"/>
  <c r="H33" i="17"/>
  <c r="AX32" i="17"/>
  <c r="AT32" i="17"/>
  <c r="AS32" i="17"/>
  <c r="I32" i="17"/>
  <c r="H32" i="17"/>
  <c r="AX31" i="17"/>
  <c r="AT31" i="17"/>
  <c r="AS31" i="17"/>
  <c r="AI31" i="17"/>
  <c r="I31" i="17"/>
  <c r="H31" i="17"/>
  <c r="AX30" i="17"/>
  <c r="AT30" i="17"/>
  <c r="AS30" i="17"/>
  <c r="AJ30" i="17"/>
  <c r="I30" i="17"/>
  <c r="H30" i="17"/>
  <c r="AX29" i="17"/>
  <c r="AK29" i="17"/>
  <c r="I29" i="17"/>
  <c r="H29" i="17"/>
  <c r="AX28" i="17"/>
  <c r="AF28" i="17"/>
  <c r="I28" i="17"/>
  <c r="H28" i="17"/>
  <c r="AX27" i="17"/>
  <c r="AF27" i="17"/>
  <c r="I27" i="17"/>
  <c r="H27" i="17"/>
  <c r="AX26" i="17"/>
  <c r="AF26" i="17"/>
  <c r="I26" i="17"/>
  <c r="H26" i="17"/>
  <c r="AX25" i="17"/>
  <c r="AF25" i="17"/>
  <c r="I25" i="17"/>
  <c r="H25" i="17"/>
  <c r="AX24" i="17"/>
  <c r="AF24" i="17"/>
  <c r="I24" i="17"/>
  <c r="H24" i="17"/>
  <c r="AX23" i="17"/>
  <c r="AF23" i="17"/>
  <c r="I23" i="17"/>
  <c r="H23" i="17"/>
  <c r="AX22" i="17"/>
  <c r="AF22" i="17"/>
  <c r="I22" i="17"/>
  <c r="H22" i="17"/>
  <c r="AX21" i="17"/>
  <c r="AF21" i="17"/>
  <c r="I21" i="17"/>
  <c r="H21" i="17"/>
  <c r="F21" i="17"/>
  <c r="B21" i="17"/>
  <c r="AX20" i="17"/>
  <c r="AF20" i="17"/>
  <c r="I20" i="17"/>
  <c r="H20" i="17"/>
  <c r="F20" i="17"/>
  <c r="B20" i="17"/>
  <c r="AA9" i="17" s="1"/>
  <c r="AX19" i="17"/>
  <c r="I19" i="17"/>
  <c r="H19" i="17"/>
  <c r="F19" i="17"/>
  <c r="B19" i="17"/>
  <c r="AX18" i="17"/>
  <c r="AE18" i="17"/>
  <c r="I18" i="17"/>
  <c r="H18" i="17"/>
  <c r="F18" i="17"/>
  <c r="B18" i="17"/>
  <c r="Y9" i="17" s="1"/>
  <c r="AX17" i="17"/>
  <c r="AN17" i="17"/>
  <c r="AM17" i="17"/>
  <c r="AL17" i="17"/>
  <c r="AF17" i="17"/>
  <c r="AE17" i="17"/>
  <c r="AD17" i="17"/>
  <c r="I17" i="17"/>
  <c r="H17" i="17"/>
  <c r="F17" i="17"/>
  <c r="E17" i="17"/>
  <c r="A17" i="17"/>
  <c r="X2" i="17" s="1"/>
  <c r="AX16" i="17"/>
  <c r="AN16" i="17"/>
  <c r="AM16" i="17"/>
  <c r="AF16" i="17"/>
  <c r="AE16" i="17"/>
  <c r="AD16" i="17"/>
  <c r="I16" i="17"/>
  <c r="H16" i="17"/>
  <c r="F16" i="17"/>
  <c r="E16" i="17"/>
  <c r="W31" i="17" s="1"/>
  <c r="A16" i="17"/>
  <c r="W2" i="17" s="1"/>
  <c r="AX15" i="17"/>
  <c r="AT15" i="17"/>
  <c r="AS15" i="17"/>
  <c r="AN15" i="17"/>
  <c r="AI15" i="17"/>
  <c r="I15" i="17"/>
  <c r="H15" i="17"/>
  <c r="F15" i="17"/>
  <c r="E15" i="17"/>
  <c r="A15" i="17"/>
  <c r="V2" i="17" s="1"/>
  <c r="AX14" i="17"/>
  <c r="AK14" i="17"/>
  <c r="I14" i="17"/>
  <c r="H14" i="17"/>
  <c r="F14" i="17"/>
  <c r="E14" i="17"/>
  <c r="A14" i="17"/>
  <c r="AX13" i="17"/>
  <c r="AN13" i="17"/>
  <c r="AM13" i="17"/>
  <c r="AF13" i="17"/>
  <c r="AE13" i="17"/>
  <c r="AD13" i="17"/>
  <c r="I13" i="17"/>
  <c r="H13" i="17"/>
  <c r="F13" i="17"/>
  <c r="E13" i="17"/>
  <c r="A13" i="17"/>
  <c r="AX12" i="17"/>
  <c r="AN12" i="17"/>
  <c r="AM12" i="17"/>
  <c r="AF12" i="17"/>
  <c r="AE12" i="17"/>
  <c r="AD12" i="17"/>
  <c r="I12" i="17"/>
  <c r="H12" i="17"/>
  <c r="F12" i="17"/>
  <c r="E12" i="17"/>
  <c r="A12" i="17"/>
  <c r="AX11" i="17"/>
  <c r="AT11" i="17"/>
  <c r="AS11" i="17"/>
  <c r="AN11" i="17"/>
  <c r="AJ11" i="17"/>
  <c r="I11" i="17"/>
  <c r="H11" i="17"/>
  <c r="F11" i="17"/>
  <c r="E11" i="17"/>
  <c r="A11" i="17"/>
  <c r="AX10" i="17"/>
  <c r="AN10" i="17"/>
  <c r="AM10" i="17"/>
  <c r="AK10" i="17"/>
  <c r="AF10" i="17"/>
  <c r="AE10" i="17"/>
  <c r="AD10" i="17"/>
  <c r="I10" i="17"/>
  <c r="H10" i="17"/>
  <c r="F10" i="17"/>
  <c r="E10" i="17"/>
  <c r="A10" i="17"/>
  <c r="AX9" i="17"/>
  <c r="AQ9" i="17"/>
  <c r="AP9" i="17"/>
  <c r="AO9" i="17"/>
  <c r="AN9" i="17"/>
  <c r="AM9" i="17"/>
  <c r="AL9" i="17"/>
  <c r="AK9" i="17"/>
  <c r="AF9" i="17"/>
  <c r="AE9" i="17"/>
  <c r="AD9" i="17"/>
  <c r="AB9" i="17" s="1"/>
  <c r="I9" i="17"/>
  <c r="H9" i="17"/>
  <c r="F9" i="17"/>
  <c r="E9" i="17"/>
  <c r="A9" i="17"/>
  <c r="AX8" i="17"/>
  <c r="AK8" i="17"/>
  <c r="I8" i="17"/>
  <c r="H8" i="17"/>
  <c r="F8" i="17"/>
  <c r="E8" i="17"/>
  <c r="A8" i="17"/>
  <c r="AX7" i="17"/>
  <c r="AT7" i="17"/>
  <c r="AS7" i="17"/>
  <c r="AR7" i="17"/>
  <c r="AQ7" i="17"/>
  <c r="AP7" i="17"/>
  <c r="AO7" i="17"/>
  <c r="AN7" i="17"/>
  <c r="AM7" i="17"/>
  <c r="AL7" i="17"/>
  <c r="AK7" i="17"/>
  <c r="AI7" i="17"/>
  <c r="AH7" i="17"/>
  <c r="AF7" i="17"/>
  <c r="I7" i="17"/>
  <c r="H7" i="17"/>
  <c r="F7" i="17"/>
  <c r="E7" i="17"/>
  <c r="A7" i="17"/>
  <c r="AX6" i="17"/>
  <c r="AT6" i="17"/>
  <c r="AS6" i="17"/>
  <c r="AK6" i="17"/>
  <c r="I6" i="17"/>
  <c r="X6" i="17" s="1"/>
  <c r="H6" i="17"/>
  <c r="F6" i="17"/>
  <c r="E6" i="17"/>
  <c r="A6" i="17"/>
  <c r="AX5" i="17"/>
  <c r="AT5" i="17"/>
  <c r="AS5" i="17"/>
  <c r="AL5" i="17"/>
  <c r="AK5" i="17"/>
  <c r="AJ5" i="17"/>
  <c r="AI5" i="17"/>
  <c r="I5" i="17"/>
  <c r="X5" i="17" s="1"/>
  <c r="H5" i="17"/>
  <c r="F5" i="17"/>
  <c r="E5" i="17"/>
  <c r="A5" i="17"/>
  <c r="AX4" i="17"/>
  <c r="AN4" i="17"/>
  <c r="AM4" i="17"/>
  <c r="AK4" i="17"/>
  <c r="I4" i="17"/>
  <c r="M4" i="17" s="1"/>
  <c r="H4" i="17"/>
  <c r="F4" i="17"/>
  <c r="E4" i="17"/>
  <c r="A4" i="17"/>
  <c r="AX3" i="17"/>
  <c r="AN3" i="17"/>
  <c r="AM3" i="17"/>
  <c r="AK3" i="17"/>
  <c r="AF3" i="17"/>
  <c r="AD3" i="17"/>
  <c r="I3" i="17"/>
  <c r="H3" i="17"/>
  <c r="F3" i="17"/>
  <c r="E3" i="17"/>
  <c r="A3" i="17"/>
  <c r="AT2" i="17"/>
  <c r="AS2" i="17"/>
  <c r="AR2" i="17"/>
  <c r="AQ2" i="17"/>
  <c r="AP2" i="17"/>
  <c r="AO2" i="17"/>
  <c r="AN2" i="17"/>
  <c r="AM2" i="17"/>
  <c r="U2" i="17"/>
  <c r="T2" i="17"/>
  <c r="S2" i="17"/>
  <c r="R2" i="17"/>
  <c r="Q2" i="17"/>
  <c r="P2" i="17"/>
  <c r="O2" i="17"/>
  <c r="N2" i="17"/>
  <c r="M2" i="17"/>
  <c r="L2" i="17"/>
  <c r="K2" i="17"/>
  <c r="J2" i="17"/>
  <c r="AX78" i="16"/>
  <c r="AX33" i="16" s="1"/>
  <c r="AW78" i="16"/>
  <c r="AV78" i="16"/>
  <c r="D44" i="16"/>
  <c r="D40" i="16"/>
  <c r="I34" i="16"/>
  <c r="H34" i="16"/>
  <c r="I33" i="16"/>
  <c r="H33" i="16"/>
  <c r="AT32" i="16"/>
  <c r="AS32" i="16"/>
  <c r="I32" i="16"/>
  <c r="H32" i="16"/>
  <c r="AT31" i="16"/>
  <c r="AS31" i="16"/>
  <c r="AI31" i="16"/>
  <c r="I31" i="16"/>
  <c r="H31" i="16"/>
  <c r="AT30" i="16"/>
  <c r="AS30" i="16"/>
  <c r="AJ30" i="16"/>
  <c r="I30" i="16"/>
  <c r="H30" i="16"/>
  <c r="AK29" i="16"/>
  <c r="I29" i="16"/>
  <c r="H29" i="16"/>
  <c r="AF28" i="16"/>
  <c r="I28" i="16"/>
  <c r="H28" i="16"/>
  <c r="AF27" i="16"/>
  <c r="I27" i="16"/>
  <c r="H27" i="16"/>
  <c r="AF26" i="16"/>
  <c r="I26" i="16"/>
  <c r="H26" i="16"/>
  <c r="AF25" i="16"/>
  <c r="I25" i="16"/>
  <c r="H25" i="16"/>
  <c r="AF24" i="16"/>
  <c r="I24" i="16"/>
  <c r="H24" i="16"/>
  <c r="AF23" i="16"/>
  <c r="I23" i="16"/>
  <c r="H23" i="16"/>
  <c r="AF22" i="16"/>
  <c r="I22" i="16"/>
  <c r="H22" i="16"/>
  <c r="AF21" i="16"/>
  <c r="I21" i="16"/>
  <c r="H21" i="16"/>
  <c r="F21" i="16"/>
  <c r="B21" i="16"/>
  <c r="AB9" i="16" s="1"/>
  <c r="AF20" i="16"/>
  <c r="I20" i="16"/>
  <c r="H20" i="16"/>
  <c r="F20" i="16"/>
  <c r="B20" i="16"/>
  <c r="I19" i="16"/>
  <c r="H19" i="16"/>
  <c r="F19" i="16"/>
  <c r="B19" i="16"/>
  <c r="Z9" i="16" s="1"/>
  <c r="AE18" i="16"/>
  <c r="I18" i="16"/>
  <c r="H18" i="16"/>
  <c r="F18" i="16"/>
  <c r="B18" i="16"/>
  <c r="Y9" i="16" s="1"/>
  <c r="AN17" i="16"/>
  <c r="AM17" i="16"/>
  <c r="AL17" i="16"/>
  <c r="AF17" i="16"/>
  <c r="AE17" i="16"/>
  <c r="AD17" i="16"/>
  <c r="I17" i="16"/>
  <c r="H17" i="16"/>
  <c r="F17" i="16"/>
  <c r="E17" i="16"/>
  <c r="A17" i="16"/>
  <c r="AN16" i="16"/>
  <c r="AM16" i="16"/>
  <c r="AF16" i="16"/>
  <c r="AE16" i="16"/>
  <c r="AD16" i="16"/>
  <c r="I16" i="16"/>
  <c r="H16" i="16"/>
  <c r="F16" i="16"/>
  <c r="E16" i="16"/>
  <c r="A16" i="16"/>
  <c r="W2" i="16" s="1"/>
  <c r="AT15" i="16"/>
  <c r="AS15" i="16"/>
  <c r="AN15" i="16"/>
  <c r="AI15" i="16"/>
  <c r="I15" i="16"/>
  <c r="H15" i="16"/>
  <c r="F15" i="16"/>
  <c r="E15" i="16"/>
  <c r="A15" i="16"/>
  <c r="V2" i="16" s="1"/>
  <c r="AK14" i="16"/>
  <c r="I14" i="16"/>
  <c r="H14" i="16"/>
  <c r="F14" i="16"/>
  <c r="E14" i="16"/>
  <c r="A14" i="16"/>
  <c r="AN13" i="16"/>
  <c r="AM13" i="16"/>
  <c r="AF13" i="16"/>
  <c r="AE13" i="16"/>
  <c r="AD13" i="16"/>
  <c r="I13" i="16"/>
  <c r="H13" i="16"/>
  <c r="F13" i="16"/>
  <c r="E13" i="16"/>
  <c r="A13" i="16"/>
  <c r="AN12" i="16"/>
  <c r="AM12" i="16"/>
  <c r="AF12" i="16"/>
  <c r="AE12" i="16"/>
  <c r="AD12" i="16"/>
  <c r="I12" i="16"/>
  <c r="H12" i="16"/>
  <c r="F12" i="16"/>
  <c r="E12" i="16"/>
  <c r="A12" i="16"/>
  <c r="AT11" i="16"/>
  <c r="AS11" i="16"/>
  <c r="AN11" i="16"/>
  <c r="AJ11" i="16"/>
  <c r="I11" i="16"/>
  <c r="H11" i="16"/>
  <c r="F11" i="16"/>
  <c r="E11" i="16"/>
  <c r="A11" i="16"/>
  <c r="AN10" i="16"/>
  <c r="AM10" i="16"/>
  <c r="AK10" i="16"/>
  <c r="AF10" i="16"/>
  <c r="AE10" i="16"/>
  <c r="AD10" i="16"/>
  <c r="I10" i="16"/>
  <c r="H10" i="16"/>
  <c r="F10" i="16"/>
  <c r="E10" i="16"/>
  <c r="A10" i="16"/>
  <c r="AQ9" i="16"/>
  <c r="AP9" i="16"/>
  <c r="AO9" i="16"/>
  <c r="AN9" i="16"/>
  <c r="AM9" i="16"/>
  <c r="AL9" i="16"/>
  <c r="AK9" i="16"/>
  <c r="AF9" i="16"/>
  <c r="AE9" i="16"/>
  <c r="AD9" i="16"/>
  <c r="AA9" i="16"/>
  <c r="I9" i="16"/>
  <c r="H9" i="16"/>
  <c r="F9" i="16"/>
  <c r="E9" i="16"/>
  <c r="A9" i="16"/>
  <c r="AK8" i="16"/>
  <c r="I8" i="16"/>
  <c r="T8" i="16" s="1"/>
  <c r="H8" i="16"/>
  <c r="F8" i="16"/>
  <c r="E8" i="16"/>
  <c r="A8" i="16"/>
  <c r="AX7" i="16"/>
  <c r="AT7" i="16"/>
  <c r="AS7" i="16"/>
  <c r="AR7" i="16"/>
  <c r="AQ7" i="16"/>
  <c r="AP7" i="16"/>
  <c r="AO7" i="16"/>
  <c r="AN7" i="16"/>
  <c r="AM7" i="16"/>
  <c r="AL7" i="16"/>
  <c r="AK7" i="16"/>
  <c r="AI7" i="16"/>
  <c r="AH7" i="16"/>
  <c r="AF7" i="16"/>
  <c r="I7" i="16"/>
  <c r="H7" i="16"/>
  <c r="F7" i="16"/>
  <c r="E7" i="16"/>
  <c r="A7" i="16"/>
  <c r="AT6" i="16"/>
  <c r="AS6" i="16"/>
  <c r="AK6" i="16"/>
  <c r="I6" i="16"/>
  <c r="H6" i="16"/>
  <c r="F6" i="16"/>
  <c r="E6" i="16"/>
  <c r="A6" i="16"/>
  <c r="AT5" i="16"/>
  <c r="AS5" i="16"/>
  <c r="AL5" i="16"/>
  <c r="AK5" i="16"/>
  <c r="AJ5" i="16"/>
  <c r="AI5" i="16"/>
  <c r="I5" i="16"/>
  <c r="H5" i="16"/>
  <c r="F5" i="16"/>
  <c r="E5" i="16"/>
  <c r="L34" i="16" s="1"/>
  <c r="A5" i="16"/>
  <c r="AN4" i="16"/>
  <c r="AM4" i="16"/>
  <c r="AK4" i="16"/>
  <c r="I4" i="16"/>
  <c r="H4" i="16"/>
  <c r="F4" i="16"/>
  <c r="E4" i="16"/>
  <c r="A4" i="16"/>
  <c r="AN3" i="16"/>
  <c r="AM3" i="16"/>
  <c r="AK3" i="16"/>
  <c r="AF3" i="16"/>
  <c r="AD3" i="16"/>
  <c r="I3" i="16"/>
  <c r="H3" i="16"/>
  <c r="F3" i="16"/>
  <c r="E3" i="16"/>
  <c r="A3" i="16"/>
  <c r="AT2" i="16"/>
  <c r="AS2" i="16"/>
  <c r="AR2" i="16"/>
  <c r="AQ2" i="16"/>
  <c r="AP2" i="16"/>
  <c r="AO2" i="16"/>
  <c r="AN2" i="16"/>
  <c r="AM2" i="16"/>
  <c r="X2" i="16"/>
  <c r="U2" i="16"/>
  <c r="T2" i="16"/>
  <c r="S2" i="16"/>
  <c r="R2" i="16"/>
  <c r="Q2" i="16"/>
  <c r="P2" i="16"/>
  <c r="O2" i="16"/>
  <c r="N2" i="16"/>
  <c r="M2" i="16"/>
  <c r="L2" i="16"/>
  <c r="K2" i="16"/>
  <c r="J2" i="16"/>
  <c r="AX78" i="15"/>
  <c r="AW78" i="15"/>
  <c r="AV78" i="15"/>
  <c r="D44" i="15"/>
  <c r="D40" i="15"/>
  <c r="S7" i="16" l="1"/>
  <c r="L4" i="19"/>
  <c r="L5" i="19"/>
  <c r="L6" i="19"/>
  <c r="L18" i="19"/>
  <c r="L29" i="19"/>
  <c r="L34" i="19"/>
  <c r="R10" i="19"/>
  <c r="R5" i="19"/>
  <c r="R6" i="19"/>
  <c r="AH11" i="2"/>
  <c r="K3" i="19"/>
  <c r="K4" i="19"/>
  <c r="K5" i="19"/>
  <c r="K29" i="19"/>
  <c r="J34" i="19"/>
  <c r="E44" i="19" s="1"/>
  <c r="J6" i="19"/>
  <c r="J3" i="19"/>
  <c r="J5" i="19"/>
  <c r="J4" i="19"/>
  <c r="J29" i="19"/>
  <c r="N8" i="19"/>
  <c r="N7" i="19"/>
  <c r="L34" i="17"/>
  <c r="M29" i="17"/>
  <c r="X15" i="17"/>
  <c r="AX15" i="16"/>
  <c r="AX5" i="16"/>
  <c r="AX18" i="16"/>
  <c r="AX21" i="16"/>
  <c r="AX33" i="15"/>
  <c r="AX32" i="15"/>
  <c r="AX29" i="15"/>
  <c r="AX28" i="15"/>
  <c r="AX27" i="15"/>
  <c r="AX26" i="15"/>
  <c r="AX25" i="15"/>
  <c r="AX24" i="15"/>
  <c r="AX23" i="15"/>
  <c r="AX22" i="15"/>
  <c r="AX21" i="15"/>
  <c r="AX20" i="15"/>
  <c r="AX19" i="15"/>
  <c r="AX16" i="15"/>
  <c r="AX15" i="15"/>
  <c r="AX9" i="15"/>
  <c r="AX8" i="15"/>
  <c r="AX7" i="15"/>
  <c r="AX6" i="15"/>
  <c r="AX4" i="15"/>
  <c r="AX31" i="15"/>
  <c r="AX30" i="15"/>
  <c r="AX18" i="15"/>
  <c r="AX17" i="15"/>
  <c r="AX14" i="15"/>
  <c r="AX13" i="15"/>
  <c r="AX12" i="15"/>
  <c r="AX11" i="15"/>
  <c r="AX10" i="15"/>
  <c r="AX5" i="15"/>
  <c r="AX3" i="15"/>
  <c r="AX25" i="16"/>
  <c r="AX26" i="16"/>
  <c r="AX27" i="16"/>
  <c r="W3" i="17"/>
  <c r="J6" i="16"/>
  <c r="AX28" i="16"/>
  <c r="AX29" i="16"/>
  <c r="S7" i="17"/>
  <c r="Z9" i="17"/>
  <c r="AX6" i="16"/>
  <c r="AX8" i="16"/>
  <c r="AX10" i="16"/>
  <c r="AX16" i="16"/>
  <c r="AX19" i="16"/>
  <c r="AX23" i="16"/>
  <c r="AX31" i="16"/>
  <c r="O4" i="16"/>
  <c r="Q6" i="16"/>
  <c r="Q6" i="17"/>
  <c r="X5" i="16"/>
  <c r="W5" i="16" s="1"/>
  <c r="W34" i="16"/>
  <c r="D45" i="16"/>
  <c r="K3" i="17"/>
  <c r="O5" i="17"/>
  <c r="P7" i="17"/>
  <c r="W3" i="16"/>
  <c r="K3" i="16" s="1"/>
  <c r="AX3" i="16"/>
  <c r="AX4" i="16"/>
  <c r="X6" i="16"/>
  <c r="W6" i="16" s="1"/>
  <c r="V6" i="16"/>
  <c r="P7" i="16"/>
  <c r="N8" i="16"/>
  <c r="AX9" i="16"/>
  <c r="AX11" i="16"/>
  <c r="AX12" i="16"/>
  <c r="AX13" i="16"/>
  <c r="U15" i="16"/>
  <c r="P15" i="16" s="1"/>
  <c r="AX14" i="16"/>
  <c r="AX17" i="16"/>
  <c r="AX20" i="16"/>
  <c r="AX22" i="16"/>
  <c r="AX24" i="16"/>
  <c r="J29" i="17"/>
  <c r="W5" i="17"/>
  <c r="S5" i="17"/>
  <c r="W6" i="17"/>
  <c r="V6" i="17"/>
  <c r="T8" i="17"/>
  <c r="P31" i="17"/>
  <c r="W15" i="17"/>
  <c r="O5" i="16"/>
  <c r="S5" i="16"/>
  <c r="S6" i="16"/>
  <c r="V15" i="16"/>
  <c r="X15" i="16"/>
  <c r="W15" i="16" s="1"/>
  <c r="V34" i="16"/>
  <c r="M29" i="16"/>
  <c r="L29" i="16" s="1"/>
  <c r="AX30" i="16"/>
  <c r="W31" i="16"/>
  <c r="V31" i="16" s="1"/>
  <c r="AX32" i="16"/>
  <c r="Q34" i="16"/>
  <c r="L4" i="17"/>
  <c r="Q5" i="17"/>
  <c r="V5" i="17"/>
  <c r="S6" i="17"/>
  <c r="V15" i="17"/>
  <c r="V31" i="17"/>
  <c r="O29" i="17"/>
  <c r="U31" i="17"/>
  <c r="U32" i="17"/>
  <c r="Q34" i="17"/>
  <c r="Q5" i="16"/>
  <c r="V5" i="16"/>
  <c r="L18" i="16"/>
  <c r="O4" i="17"/>
  <c r="J34" i="17"/>
  <c r="L29" i="17"/>
  <c r="N8" i="17"/>
  <c r="J34" i="16"/>
  <c r="D45" i="17"/>
  <c r="K4" i="16"/>
  <c r="M4" i="16"/>
  <c r="Q4" i="16"/>
  <c r="J3" i="16"/>
  <c r="J4" i="16"/>
  <c r="L4" i="16"/>
  <c r="J5" i="16"/>
  <c r="L5" i="16"/>
  <c r="O7" i="16"/>
  <c r="V18" i="16"/>
  <c r="M18" i="16" s="1"/>
  <c r="X19" i="16"/>
  <c r="K29" i="16"/>
  <c r="O29" i="16"/>
  <c r="U31" i="16"/>
  <c r="U32" i="16"/>
  <c r="J3" i="17"/>
  <c r="J4" i="17"/>
  <c r="J5" i="17"/>
  <c r="L5" i="17"/>
  <c r="J6" i="17"/>
  <c r="O7" i="17"/>
  <c r="P15" i="17"/>
  <c r="L18" i="17"/>
  <c r="Q29" i="17"/>
  <c r="S30" i="17"/>
  <c r="W34" i="17"/>
  <c r="V34" i="17" s="1"/>
  <c r="K5" i="16"/>
  <c r="M5" i="16"/>
  <c r="P5" i="16"/>
  <c r="R5" i="16"/>
  <c r="U5" i="16"/>
  <c r="L6" i="16"/>
  <c r="R6" i="16"/>
  <c r="U6" i="16"/>
  <c r="N7" i="16"/>
  <c r="Q9" i="16"/>
  <c r="R10" i="16"/>
  <c r="S11" i="16"/>
  <c r="T14" i="16"/>
  <c r="J29" i="16"/>
  <c r="Q29" i="16"/>
  <c r="S30" i="16"/>
  <c r="P31" i="16"/>
  <c r="X33" i="16"/>
  <c r="K4" i="17"/>
  <c r="Q4" i="17"/>
  <c r="K5" i="17"/>
  <c r="M5" i="17"/>
  <c r="P5" i="17"/>
  <c r="R5" i="17"/>
  <c r="U5" i="17"/>
  <c r="L6" i="17"/>
  <c r="R6" i="17"/>
  <c r="U6" i="17"/>
  <c r="N7" i="17"/>
  <c r="Q9" i="17"/>
  <c r="R10" i="17"/>
  <c r="S11" i="17"/>
  <c r="T14" i="17"/>
  <c r="U15" i="17"/>
  <c r="V18" i="17"/>
  <c r="M18" i="17" s="1"/>
  <c r="X19" i="17"/>
  <c r="K29" i="17"/>
  <c r="X33" i="17"/>
  <c r="E45" i="19" l="1"/>
  <c r="E43" i="19"/>
  <c r="H50" i="5" s="1"/>
  <c r="E44" i="16"/>
  <c r="E43" i="16" s="1"/>
  <c r="E44" i="17"/>
  <c r="E45" i="17" s="1"/>
  <c r="F21" i="15"/>
  <c r="B21" i="15"/>
  <c r="AB9" i="15" s="1"/>
  <c r="F20" i="15"/>
  <c r="B20" i="15"/>
  <c r="AA9" i="15" s="1"/>
  <c r="F19" i="15"/>
  <c r="B19" i="15"/>
  <c r="Z9" i="15" s="1"/>
  <c r="F18" i="15"/>
  <c r="B18" i="15"/>
  <c r="Y9" i="15" s="1"/>
  <c r="F17" i="15"/>
  <c r="E17" i="15"/>
  <c r="A17" i="15"/>
  <c r="X2" i="15" s="1"/>
  <c r="F16" i="15"/>
  <c r="E16" i="15"/>
  <c r="A16" i="15"/>
  <c r="W2" i="15" s="1"/>
  <c r="F15" i="15"/>
  <c r="E15" i="15"/>
  <c r="A15" i="15"/>
  <c r="V2" i="15" s="1"/>
  <c r="F14" i="15"/>
  <c r="E14" i="15"/>
  <c r="A14" i="15"/>
  <c r="F13" i="15"/>
  <c r="E13" i="15"/>
  <c r="A13" i="15"/>
  <c r="F12" i="15"/>
  <c r="E12" i="15"/>
  <c r="A12" i="15"/>
  <c r="F11" i="15"/>
  <c r="E11" i="15"/>
  <c r="A11" i="15"/>
  <c r="F10" i="15"/>
  <c r="E10" i="15"/>
  <c r="A10" i="15"/>
  <c r="F9" i="15"/>
  <c r="E9" i="15"/>
  <c r="A9" i="15"/>
  <c r="F8" i="15"/>
  <c r="E8" i="15"/>
  <c r="A8" i="15"/>
  <c r="F7" i="15"/>
  <c r="E7" i="15"/>
  <c r="A7" i="15"/>
  <c r="F6" i="15"/>
  <c r="E6" i="15"/>
  <c r="A6" i="15"/>
  <c r="F5" i="15"/>
  <c r="E5" i="15"/>
  <c r="A5" i="15"/>
  <c r="F4" i="15"/>
  <c r="E4" i="15"/>
  <c r="A4" i="15"/>
  <c r="F3" i="15"/>
  <c r="E3" i="15"/>
  <c r="A3" i="15"/>
  <c r="AX78" i="14"/>
  <c r="AW78" i="14"/>
  <c r="AV78" i="14"/>
  <c r="D44" i="14"/>
  <c r="D40" i="14"/>
  <c r="E45" i="16" l="1"/>
  <c r="K3" i="15"/>
  <c r="K4" i="15"/>
  <c r="K5" i="15"/>
  <c r="K29" i="15"/>
  <c r="J6" i="15"/>
  <c r="J4" i="15"/>
  <c r="J3" i="15"/>
  <c r="J29" i="15"/>
  <c r="J34" i="15"/>
  <c r="J5" i="15"/>
  <c r="L5" i="15"/>
  <c r="L6" i="15"/>
  <c r="L18" i="15"/>
  <c r="L4" i="15"/>
  <c r="L29" i="15"/>
  <c r="L34" i="15"/>
  <c r="N7" i="15"/>
  <c r="N8" i="15"/>
  <c r="P31" i="15"/>
  <c r="P7" i="15"/>
  <c r="P15" i="15"/>
  <c r="P5" i="15"/>
  <c r="R5" i="15"/>
  <c r="R10" i="15"/>
  <c r="R6" i="15"/>
  <c r="T14" i="15"/>
  <c r="T8" i="15"/>
  <c r="V34" i="15"/>
  <c r="V5" i="15"/>
  <c r="V15" i="15"/>
  <c r="V6" i="15"/>
  <c r="V31" i="15"/>
  <c r="V18" i="15"/>
  <c r="X33" i="15"/>
  <c r="X6" i="15"/>
  <c r="X19" i="15"/>
  <c r="X5" i="15"/>
  <c r="X15" i="15"/>
  <c r="M4" i="15"/>
  <c r="M5" i="15"/>
  <c r="M29" i="15"/>
  <c r="M18" i="15"/>
  <c r="O4" i="15"/>
  <c r="O29" i="15"/>
  <c r="O5" i="15"/>
  <c r="O7" i="15"/>
  <c r="Q9" i="15"/>
  <c r="Q4" i="15"/>
  <c r="Q6" i="15"/>
  <c r="Q29" i="15"/>
  <c r="Q5" i="15"/>
  <c r="Q34" i="15"/>
  <c r="S6" i="15"/>
  <c r="S11" i="15"/>
  <c r="S7" i="15"/>
  <c r="S30" i="15"/>
  <c r="S5" i="15"/>
  <c r="U6" i="15"/>
  <c r="U15" i="15"/>
  <c r="U32" i="15"/>
  <c r="U31" i="15"/>
  <c r="U5" i="15"/>
  <c r="W5" i="15"/>
  <c r="W15" i="15"/>
  <c r="W31" i="15"/>
  <c r="W34" i="15"/>
  <c r="W6" i="15"/>
  <c r="W3" i="15"/>
  <c r="AX5" i="14"/>
  <c r="AX8" i="14"/>
  <c r="AX9" i="14"/>
  <c r="AX15" i="14"/>
  <c r="AX16" i="14"/>
  <c r="AX18" i="14"/>
  <c r="AX29" i="14"/>
  <c r="AX32" i="14"/>
  <c r="AX33" i="14"/>
  <c r="AX3" i="14"/>
  <c r="AX4" i="14"/>
  <c r="AX6" i="14"/>
  <c r="AX7" i="14"/>
  <c r="AX10" i="14"/>
  <c r="AX11" i="14"/>
  <c r="AX12" i="14"/>
  <c r="AX13" i="14"/>
  <c r="AX14" i="14"/>
  <c r="AX17" i="14"/>
  <c r="AX19" i="14"/>
  <c r="AX20" i="14"/>
  <c r="AX21" i="14"/>
  <c r="AX22" i="14"/>
  <c r="AX23" i="14"/>
  <c r="AX24" i="14"/>
  <c r="AX25" i="14"/>
  <c r="AX26" i="14"/>
  <c r="AX27" i="14"/>
  <c r="AX28" i="14"/>
  <c r="AX30" i="14"/>
  <c r="AX31" i="14"/>
  <c r="E43" i="17"/>
  <c r="AU7" i="17" s="1"/>
  <c r="AW7" i="17" s="1"/>
  <c r="AV7" i="17" s="1"/>
  <c r="F40" i="17"/>
  <c r="D45" i="14"/>
  <c r="E44" i="15"/>
  <c r="F40" i="16"/>
  <c r="AU31" i="16"/>
  <c r="AU29" i="16"/>
  <c r="AU27" i="16"/>
  <c r="AW27" i="16" s="1"/>
  <c r="AV27" i="16" s="1"/>
  <c r="AU18" i="16"/>
  <c r="AU17" i="16"/>
  <c r="AU16" i="16"/>
  <c r="AU13" i="16"/>
  <c r="AU11" i="16"/>
  <c r="AU10" i="16"/>
  <c r="AU9" i="16"/>
  <c r="AW9" i="16" s="1"/>
  <c r="AV9" i="16" s="1"/>
  <c r="AU8" i="16"/>
  <c r="AU6" i="16"/>
  <c r="AU5" i="16"/>
  <c r="AU4" i="16"/>
  <c r="AU33" i="16"/>
  <c r="AU32" i="16"/>
  <c r="AU30" i="16"/>
  <c r="AU28" i="16"/>
  <c r="AW28" i="16" s="1"/>
  <c r="AV28" i="16" s="1"/>
  <c r="AU26" i="16"/>
  <c r="AW26" i="16" s="1"/>
  <c r="AV26" i="16" s="1"/>
  <c r="AU25" i="16"/>
  <c r="AU24" i="16"/>
  <c r="AU23" i="16"/>
  <c r="AU22" i="16"/>
  <c r="AW22" i="16" s="1"/>
  <c r="AV22" i="16" s="1"/>
  <c r="AU21" i="16"/>
  <c r="AU20" i="16"/>
  <c r="AU19" i="16"/>
  <c r="AU15" i="16"/>
  <c r="AU14" i="16"/>
  <c r="AU12" i="16"/>
  <c r="AU7" i="16"/>
  <c r="AU3" i="16"/>
  <c r="F21" i="14"/>
  <c r="B21" i="14"/>
  <c r="AB9" i="14" s="1"/>
  <c r="F20" i="14"/>
  <c r="B20" i="14"/>
  <c r="AA9" i="14" s="1"/>
  <c r="F19" i="14"/>
  <c r="B19" i="14"/>
  <c r="Z9" i="14" s="1"/>
  <c r="F18" i="14"/>
  <c r="B18" i="14"/>
  <c r="Y9" i="14" s="1"/>
  <c r="F17" i="14"/>
  <c r="E17" i="14"/>
  <c r="A17" i="14"/>
  <c r="X2" i="14" s="1"/>
  <c r="F16" i="14"/>
  <c r="E16" i="14"/>
  <c r="A16" i="14"/>
  <c r="W2" i="14" s="1"/>
  <c r="F15" i="14"/>
  <c r="E15" i="14"/>
  <c r="A15" i="14"/>
  <c r="V2" i="14" s="1"/>
  <c r="F14" i="14"/>
  <c r="E14" i="14"/>
  <c r="A14" i="14"/>
  <c r="F13" i="14"/>
  <c r="E13" i="14"/>
  <c r="A13" i="14"/>
  <c r="F12" i="14"/>
  <c r="E12" i="14"/>
  <c r="A12" i="14"/>
  <c r="F11" i="14"/>
  <c r="E11" i="14"/>
  <c r="A11" i="14"/>
  <c r="F10" i="14"/>
  <c r="E10" i="14"/>
  <c r="A10" i="14"/>
  <c r="F9" i="14"/>
  <c r="E9" i="14"/>
  <c r="A9" i="14"/>
  <c r="F8" i="14"/>
  <c r="E8" i="14"/>
  <c r="A8" i="14"/>
  <c r="F7" i="14"/>
  <c r="E7" i="14"/>
  <c r="A7" i="14"/>
  <c r="F6" i="14"/>
  <c r="E6" i="14"/>
  <c r="A6" i="14"/>
  <c r="F5" i="14"/>
  <c r="E5" i="14"/>
  <c r="A5" i="14"/>
  <c r="F4" i="14"/>
  <c r="E4" i="14"/>
  <c r="A4" i="14"/>
  <c r="F3" i="14"/>
  <c r="E3" i="14"/>
  <c r="A3" i="14"/>
  <c r="AX78" i="13"/>
  <c r="AW78" i="13"/>
  <c r="AV78" i="13"/>
  <c r="AU32" i="17" l="1"/>
  <c r="AW32" i="17" s="1"/>
  <c r="AV32" i="17" s="1"/>
  <c r="AU5" i="17"/>
  <c r="AV5" i="17" s="1"/>
  <c r="AU25" i="17"/>
  <c r="AW25" i="17" s="1"/>
  <c r="AV25" i="17" s="1"/>
  <c r="N24" i="5"/>
  <c r="AU14" i="17"/>
  <c r="AW14" i="17" s="1"/>
  <c r="AV14" i="17" s="1"/>
  <c r="AU33" i="17"/>
  <c r="AW33" i="17" s="1"/>
  <c r="G50" i="5"/>
  <c r="AW14" i="16"/>
  <c r="AV14" i="16" s="1"/>
  <c r="N15" i="5"/>
  <c r="AW11" i="16"/>
  <c r="AV11" i="16" s="1"/>
  <c r="AW4" i="16"/>
  <c r="AV4" i="16" s="1"/>
  <c r="AW29" i="16"/>
  <c r="AV29" i="16" s="1"/>
  <c r="AW30" i="16"/>
  <c r="AV30" i="16" s="1"/>
  <c r="AW17" i="16"/>
  <c r="AV17" i="16" s="1"/>
  <c r="AW3" i="16"/>
  <c r="AV3" i="16" s="1"/>
  <c r="AW13" i="16"/>
  <c r="AV13" i="16" s="1"/>
  <c r="N14" i="5"/>
  <c r="M5" i="14"/>
  <c r="M18" i="14"/>
  <c r="M29" i="14"/>
  <c r="M4" i="14"/>
  <c r="O4" i="14"/>
  <c r="O7" i="14"/>
  <c r="O5" i="14"/>
  <c r="O29" i="14"/>
  <c r="J3" i="14"/>
  <c r="J4" i="14"/>
  <c r="J34" i="14"/>
  <c r="J29" i="14"/>
  <c r="J6" i="14"/>
  <c r="J5" i="14"/>
  <c r="L4" i="14"/>
  <c r="L6" i="14"/>
  <c r="L18" i="14"/>
  <c r="L34" i="14"/>
  <c r="L29" i="14"/>
  <c r="L5" i="14"/>
  <c r="N8" i="14"/>
  <c r="N7" i="14"/>
  <c r="P31" i="14"/>
  <c r="P7" i="14"/>
  <c r="P5" i="14"/>
  <c r="P15" i="14"/>
  <c r="R5" i="14"/>
  <c r="R6" i="14"/>
  <c r="R10" i="14"/>
  <c r="T8" i="14"/>
  <c r="T14" i="14"/>
  <c r="V34" i="14"/>
  <c r="V31" i="14"/>
  <c r="V6" i="14"/>
  <c r="V18" i="14"/>
  <c r="V15" i="14"/>
  <c r="V5" i="14"/>
  <c r="X33" i="14"/>
  <c r="X6" i="14"/>
  <c r="X15" i="14"/>
  <c r="X5" i="14"/>
  <c r="X19" i="14"/>
  <c r="AU21" i="17"/>
  <c r="AW21" i="17" s="1"/>
  <c r="AV21" i="17" s="1"/>
  <c r="AU29" i="17"/>
  <c r="AW29" i="17" s="1"/>
  <c r="AV29" i="17" s="1"/>
  <c r="AU13" i="17"/>
  <c r="AW13" i="17" s="1"/>
  <c r="AV13" i="17" s="1"/>
  <c r="K3" i="14"/>
  <c r="K4" i="14"/>
  <c r="K29" i="14"/>
  <c r="K5" i="14"/>
  <c r="Q9" i="14"/>
  <c r="Q4" i="14"/>
  <c r="Q29" i="14"/>
  <c r="Q34" i="14"/>
  <c r="Q6" i="14"/>
  <c r="Q5" i="14"/>
  <c r="S7" i="14"/>
  <c r="S11" i="14"/>
  <c r="S6" i="14"/>
  <c r="S5" i="14"/>
  <c r="S30" i="14"/>
  <c r="U6" i="14"/>
  <c r="U31" i="14"/>
  <c r="U15" i="14"/>
  <c r="U32" i="14"/>
  <c r="U5" i="14"/>
  <c r="W3" i="14"/>
  <c r="W5" i="14"/>
  <c r="W6" i="14"/>
  <c r="W15" i="14"/>
  <c r="W31" i="14"/>
  <c r="W34" i="14"/>
  <c r="AU8" i="17"/>
  <c r="AW8" i="17" s="1"/>
  <c r="AV8" i="17" s="1"/>
  <c r="AU19" i="17"/>
  <c r="N20" i="5" s="1"/>
  <c r="AU23" i="17"/>
  <c r="AW23" i="17" s="1"/>
  <c r="AV23" i="17" s="1"/>
  <c r="AU27" i="17"/>
  <c r="AW27" i="17" s="1"/>
  <c r="AV27" i="17" s="1"/>
  <c r="AU31" i="17"/>
  <c r="AW31" i="17" s="1"/>
  <c r="AV31" i="17" s="1"/>
  <c r="AU10" i="17"/>
  <c r="AW10" i="17" s="1"/>
  <c r="AV10" i="17" s="1"/>
  <c r="AU17" i="17"/>
  <c r="AW17" i="17" s="1"/>
  <c r="AV17" i="17" s="1"/>
  <c r="AU4" i="17"/>
  <c r="AW4" i="17" s="1"/>
  <c r="AV4" i="17" s="1"/>
  <c r="AU6" i="17"/>
  <c r="AW6" i="17" s="1"/>
  <c r="AU12" i="17"/>
  <c r="AW12" i="17" s="1"/>
  <c r="AV12" i="17" s="1"/>
  <c r="AU15" i="17"/>
  <c r="AW15" i="17" s="1"/>
  <c r="AU20" i="17"/>
  <c r="AW20" i="17" s="1"/>
  <c r="AV20" i="17" s="1"/>
  <c r="AU22" i="17"/>
  <c r="AW22" i="17" s="1"/>
  <c r="AV22" i="17" s="1"/>
  <c r="AU24" i="17"/>
  <c r="AW24" i="17" s="1"/>
  <c r="AV24" i="17" s="1"/>
  <c r="AU26" i="17"/>
  <c r="AW26" i="17" s="1"/>
  <c r="AV26" i="17" s="1"/>
  <c r="AU28" i="17"/>
  <c r="AW28" i="17" s="1"/>
  <c r="AV28" i="17" s="1"/>
  <c r="AU30" i="17"/>
  <c r="AW30" i="17" s="1"/>
  <c r="AV30" i="17" s="1"/>
  <c r="AU3" i="17"/>
  <c r="AW3" i="17" s="1"/>
  <c r="AV3" i="17" s="1"/>
  <c r="AU9" i="17"/>
  <c r="AU11" i="17"/>
  <c r="AW11" i="17" s="1"/>
  <c r="AV11" i="17" s="1"/>
  <c r="AU16" i="17"/>
  <c r="AW16" i="17" s="1"/>
  <c r="AV16" i="17" s="1"/>
  <c r="AU18" i="17"/>
  <c r="AW18" i="17" s="1"/>
  <c r="AV18" i="17" s="1"/>
  <c r="AW15" i="16"/>
  <c r="AV15" i="16"/>
  <c r="AW33" i="16"/>
  <c r="AV33" i="16"/>
  <c r="AW5" i="16"/>
  <c r="AV5" i="16"/>
  <c r="AW8" i="16"/>
  <c r="AV8" i="16"/>
  <c r="AW31" i="16"/>
  <c r="AV31" i="16"/>
  <c r="AW19" i="16"/>
  <c r="AV19" i="16"/>
  <c r="AV32" i="16"/>
  <c r="AW32" i="16"/>
  <c r="AW6" i="16"/>
  <c r="AV6" i="16"/>
  <c r="AW18" i="16"/>
  <c r="AV18" i="16"/>
  <c r="AW5" i="17"/>
  <c r="AW19" i="17"/>
  <c r="AW7" i="16"/>
  <c r="AV7" i="16"/>
  <c r="AW21" i="16"/>
  <c r="AV21" i="16"/>
  <c r="AV23" i="16"/>
  <c r="AW23" i="16"/>
  <c r="AW25" i="16"/>
  <c r="AV25" i="16"/>
  <c r="AW16" i="16"/>
  <c r="AV16" i="16"/>
  <c r="AW12" i="16"/>
  <c r="AV12" i="16"/>
  <c r="AW20" i="16"/>
  <c r="AV20" i="16"/>
  <c r="AW24" i="16"/>
  <c r="AV24" i="16"/>
  <c r="AW10" i="16"/>
  <c r="AV10" i="16"/>
  <c r="D44" i="13"/>
  <c r="AV19" i="17" l="1"/>
  <c r="AV33" i="17"/>
  <c r="AV15" i="17"/>
  <c r="N17" i="5"/>
  <c r="N11" i="5"/>
  <c r="N25" i="5"/>
  <c r="N13" i="5"/>
  <c r="N18" i="5"/>
  <c r="N19" i="5"/>
  <c r="N9" i="5"/>
  <c r="E44" i="14"/>
  <c r="E45" i="14" s="1"/>
  <c r="AW9" i="17"/>
  <c r="AV9" i="17" s="1"/>
  <c r="N10" i="5"/>
  <c r="M6" i="20" s="1"/>
  <c r="M32" i="20" s="1"/>
  <c r="M33" i="20" s="1"/>
  <c r="M34" i="20" s="1"/>
  <c r="M35" i="20" s="1"/>
  <c r="M36" i="20" s="1"/>
  <c r="M37" i="20" s="1"/>
  <c r="M38" i="20" s="1"/>
  <c r="M39" i="20" s="1"/>
  <c r="M40" i="20" s="1"/>
  <c r="M41" i="20" s="1"/>
  <c r="M42" i="20" s="1"/>
  <c r="M43" i="20" s="1"/>
  <c r="M44" i="20" s="1"/>
  <c r="M45" i="20" s="1"/>
  <c r="M46" i="20" s="1"/>
  <c r="AV6" i="17"/>
  <c r="D45" i="13"/>
  <c r="E43" i="14"/>
  <c r="D40" i="13"/>
  <c r="I34" i="13"/>
  <c r="H34" i="13"/>
  <c r="AX33" i="13"/>
  <c r="AU3" i="14" l="1"/>
  <c r="AU6" i="14"/>
  <c r="AU12" i="14"/>
  <c r="AU21" i="14"/>
  <c r="AU23" i="14"/>
  <c r="AU25" i="14"/>
  <c r="AU27" i="14"/>
  <c r="AU30" i="14"/>
  <c r="AU28" i="14"/>
  <c r="AU24" i="14"/>
  <c r="AU20" i="14"/>
  <c r="AU17" i="14"/>
  <c r="AU13" i="14"/>
  <c r="AU10" i="14"/>
  <c r="AU4" i="14"/>
  <c r="AU32" i="14"/>
  <c r="AU8" i="14"/>
  <c r="AU31" i="14"/>
  <c r="AU26" i="14"/>
  <c r="AU22" i="14"/>
  <c r="AU19" i="14"/>
  <c r="AU14" i="14"/>
  <c r="AU11" i="14"/>
  <c r="AU7" i="14"/>
  <c r="AU33" i="14"/>
  <c r="AU16" i="14"/>
  <c r="AU9" i="14"/>
  <c r="AU15" i="14"/>
  <c r="AU29" i="14"/>
  <c r="AU18" i="14"/>
  <c r="AU5" i="14"/>
  <c r="F40" i="14"/>
  <c r="I33" i="13"/>
  <c r="H33" i="13"/>
  <c r="AX32" i="13"/>
  <c r="AT32" i="13"/>
  <c r="AS32" i="13"/>
  <c r="I32" i="13"/>
  <c r="H32" i="13"/>
  <c r="AX31" i="13"/>
  <c r="AT31" i="13"/>
  <c r="AS31" i="13"/>
  <c r="AI31" i="13"/>
  <c r="I31" i="13"/>
  <c r="H31" i="13"/>
  <c r="AX30" i="13"/>
  <c r="AT30" i="13"/>
  <c r="AS30" i="13"/>
  <c r="AJ30" i="13"/>
  <c r="I30" i="13"/>
  <c r="H30" i="13"/>
  <c r="AX29" i="13"/>
  <c r="AK29" i="13"/>
  <c r="I29" i="13"/>
  <c r="H29" i="13"/>
  <c r="AX28" i="13"/>
  <c r="AF28" i="13"/>
  <c r="I28" i="13"/>
  <c r="H28" i="13"/>
  <c r="AX27" i="13"/>
  <c r="AF27" i="13"/>
  <c r="I27" i="13"/>
  <c r="H27" i="13"/>
  <c r="AX26" i="13"/>
  <c r="AF26" i="13"/>
  <c r="I26" i="13"/>
  <c r="H26" i="13"/>
  <c r="AX25" i="13"/>
  <c r="AF25" i="13"/>
  <c r="I25" i="13"/>
  <c r="H25" i="13"/>
  <c r="AX24" i="13"/>
  <c r="AF24" i="13"/>
  <c r="I24" i="13"/>
  <c r="H24" i="13"/>
  <c r="AX23" i="13"/>
  <c r="AF23" i="13"/>
  <c r="I23" i="13"/>
  <c r="H23" i="13"/>
  <c r="AX22" i="13"/>
  <c r="AF22" i="13"/>
  <c r="I22" i="13"/>
  <c r="H22" i="13"/>
  <c r="AX21" i="13"/>
  <c r="AW5" i="14" l="1"/>
  <c r="AV5" i="14"/>
  <c r="AW29" i="14"/>
  <c r="AV29" i="14"/>
  <c r="AV9" i="14"/>
  <c r="AW9" i="14"/>
  <c r="AV33" i="14"/>
  <c r="AW33" i="14"/>
  <c r="AV11" i="14"/>
  <c r="AW11" i="14"/>
  <c r="AW19" i="14"/>
  <c r="AV19" i="14"/>
  <c r="AV26" i="14"/>
  <c r="AW26" i="14"/>
  <c r="AW8" i="14"/>
  <c r="AV8" i="14"/>
  <c r="AV4" i="14"/>
  <c r="AW4" i="14"/>
  <c r="AV13" i="14"/>
  <c r="AW13" i="14"/>
  <c r="AV20" i="14"/>
  <c r="AW20" i="14"/>
  <c r="AW28" i="14"/>
  <c r="AV28" i="14"/>
  <c r="AW27" i="14"/>
  <c r="AV27" i="14"/>
  <c r="AW23" i="14"/>
  <c r="AV23" i="14"/>
  <c r="AW12" i="14"/>
  <c r="AV12" i="14"/>
  <c r="AW3" i="14"/>
  <c r="AV3" i="14"/>
  <c r="AV18" i="14"/>
  <c r="AW18" i="14"/>
  <c r="AW15" i="14"/>
  <c r="AV15" i="14"/>
  <c r="AV16" i="14"/>
  <c r="AW16" i="14"/>
  <c r="AV7" i="14"/>
  <c r="AW7" i="14"/>
  <c r="AV14" i="14"/>
  <c r="AW14" i="14"/>
  <c r="AV22" i="14"/>
  <c r="AW22" i="14"/>
  <c r="AV31" i="14"/>
  <c r="AW31" i="14"/>
  <c r="AV32" i="14"/>
  <c r="AW32" i="14"/>
  <c r="AW10" i="14"/>
  <c r="AV10" i="14"/>
  <c r="AV17" i="14"/>
  <c r="AW17" i="14"/>
  <c r="AV24" i="14"/>
  <c r="AW24" i="14"/>
  <c r="AV30" i="14"/>
  <c r="AW30" i="14"/>
  <c r="AW25" i="14"/>
  <c r="AV25" i="14"/>
  <c r="AW21" i="14"/>
  <c r="AV21" i="14"/>
  <c r="AW6" i="14"/>
  <c r="AV6" i="14"/>
  <c r="AF21" i="13"/>
  <c r="I21" i="13"/>
  <c r="H21" i="13"/>
  <c r="F21" i="13"/>
  <c r="B21" i="13"/>
  <c r="AX20" i="13"/>
  <c r="AF20" i="13"/>
  <c r="I20" i="13"/>
  <c r="H20" i="13"/>
  <c r="F20" i="13"/>
  <c r="B20" i="13"/>
  <c r="AA9" i="13" s="1"/>
  <c r="AX19" i="13"/>
  <c r="I19" i="13"/>
  <c r="H19" i="13"/>
  <c r="F19" i="13"/>
  <c r="B19" i="13"/>
  <c r="AX18" i="13"/>
  <c r="AE18" i="13"/>
  <c r="I18" i="13"/>
  <c r="H18" i="13"/>
  <c r="F18" i="13"/>
  <c r="B18" i="13"/>
  <c r="AX17" i="13"/>
  <c r="AN17" i="13"/>
  <c r="AM17" i="13"/>
  <c r="AL17" i="13"/>
  <c r="AF17" i="13"/>
  <c r="AE17" i="13"/>
  <c r="AD17" i="13"/>
  <c r="I17" i="13"/>
  <c r="H17" i="13"/>
  <c r="F17" i="13"/>
  <c r="E17" i="13"/>
  <c r="X33" i="13" s="1"/>
  <c r="A17" i="13"/>
  <c r="AX16" i="13"/>
  <c r="AN16" i="13"/>
  <c r="AM16" i="13"/>
  <c r="AF16" i="13"/>
  <c r="AE16" i="13"/>
  <c r="AD16" i="13"/>
  <c r="I16" i="13"/>
  <c r="H16" i="13"/>
  <c r="F16" i="13"/>
  <c r="E16" i="13"/>
  <c r="W34" i="13" s="1"/>
  <c r="A16" i="13"/>
  <c r="AX15" i="13"/>
  <c r="AT15" i="13"/>
  <c r="AS15" i="13"/>
  <c r="AN15" i="13"/>
  <c r="AI15" i="13"/>
  <c r="I15" i="13"/>
  <c r="X15" i="13" s="1"/>
  <c r="H15" i="13"/>
  <c r="F15" i="13"/>
  <c r="E15" i="13"/>
  <c r="V31" i="13" s="1"/>
  <c r="A15" i="13"/>
  <c r="AX14" i="13"/>
  <c r="AK14" i="13"/>
  <c r="I14" i="13"/>
  <c r="H14" i="13"/>
  <c r="F14" i="13"/>
  <c r="E14" i="13"/>
  <c r="U32" i="13" s="1"/>
  <c r="A14" i="13"/>
  <c r="AX13" i="13"/>
  <c r="AN13" i="13"/>
  <c r="AM13" i="13"/>
  <c r="AF13" i="13"/>
  <c r="AE13" i="13"/>
  <c r="AD13" i="13"/>
  <c r="I13" i="13"/>
  <c r="H13" i="13"/>
  <c r="F13" i="13"/>
  <c r="E13" i="13"/>
  <c r="T14" i="13" s="1"/>
  <c r="A13" i="13"/>
  <c r="AX12" i="13"/>
  <c r="AN12" i="13"/>
  <c r="AM12" i="13"/>
  <c r="AF12" i="13"/>
  <c r="AE12" i="13"/>
  <c r="AD12" i="13"/>
  <c r="I12" i="13"/>
  <c r="H12" i="13"/>
  <c r="F12" i="13"/>
  <c r="E12" i="13"/>
  <c r="S30" i="13" s="1"/>
  <c r="A12" i="13"/>
  <c r="AX11" i="13"/>
  <c r="AT11" i="13"/>
  <c r="AS11" i="13"/>
  <c r="AN11" i="13"/>
  <c r="AJ11" i="13"/>
  <c r="I11" i="13"/>
  <c r="H11" i="13"/>
  <c r="F11" i="13"/>
  <c r="E11" i="13"/>
  <c r="A11" i="13"/>
  <c r="AX10" i="13"/>
  <c r="AN10" i="13"/>
  <c r="AM10" i="13"/>
  <c r="AK10" i="13"/>
  <c r="AF10" i="13"/>
  <c r="AE10" i="13"/>
  <c r="AD10" i="13"/>
  <c r="I10" i="13"/>
  <c r="H10" i="13"/>
  <c r="F10" i="13"/>
  <c r="E10" i="13"/>
  <c r="Q34" i="13" s="1"/>
  <c r="A10" i="13"/>
  <c r="AX9" i="13"/>
  <c r="AQ9" i="13"/>
  <c r="AP9" i="13"/>
  <c r="AO9" i="13"/>
  <c r="AN9" i="13"/>
  <c r="AM9" i="13"/>
  <c r="AL9" i="13"/>
  <c r="AK9" i="13"/>
  <c r="AF9" i="13"/>
  <c r="AE9" i="13"/>
  <c r="AD9" i="13"/>
  <c r="I9" i="13"/>
  <c r="H9" i="13"/>
  <c r="F9" i="13"/>
  <c r="E9" i="13"/>
  <c r="P31" i="13" s="1"/>
  <c r="A9" i="13"/>
  <c r="AX8" i="13"/>
  <c r="AK8" i="13"/>
  <c r="I8" i="13"/>
  <c r="H8" i="13"/>
  <c r="F8" i="13"/>
  <c r="E8" i="13"/>
  <c r="O29" i="13" s="1"/>
  <c r="A8" i="13"/>
  <c r="AX7" i="13"/>
  <c r="AT7" i="13"/>
  <c r="AS7" i="13"/>
  <c r="AR7" i="13"/>
  <c r="AQ7" i="13"/>
  <c r="AP7" i="13"/>
  <c r="AO7" i="13"/>
  <c r="AN7" i="13"/>
  <c r="AM7" i="13"/>
  <c r="AL7" i="13"/>
  <c r="AK7" i="13"/>
  <c r="AI7" i="13"/>
  <c r="AH7" i="13"/>
  <c r="AF7" i="13"/>
  <c r="I7" i="13"/>
  <c r="H7" i="13"/>
  <c r="F7" i="13"/>
  <c r="E7" i="13"/>
  <c r="A7" i="13"/>
  <c r="AX6" i="13"/>
  <c r="AT6" i="13"/>
  <c r="AS6" i="13"/>
  <c r="AK6" i="13"/>
  <c r="I6" i="13"/>
  <c r="H6" i="13"/>
  <c r="F6" i="13"/>
  <c r="E6" i="13"/>
  <c r="A6" i="13"/>
  <c r="AX5" i="13"/>
  <c r="W6" i="13" l="1"/>
  <c r="Z9" i="13"/>
  <c r="Y9" i="13" s="1"/>
  <c r="R10" i="13"/>
  <c r="P7" i="13"/>
  <c r="AB9" i="13"/>
  <c r="S11" i="13"/>
  <c r="X6" i="13"/>
  <c r="Q6" i="13"/>
  <c r="V6" i="13"/>
  <c r="V18" i="13"/>
  <c r="X19" i="13"/>
  <c r="S6" i="13"/>
  <c r="N8" i="13"/>
  <c r="S7" i="13"/>
  <c r="T8" i="13"/>
  <c r="U15" i="13"/>
  <c r="W15" i="13"/>
  <c r="M18" i="13"/>
  <c r="Q29" i="13"/>
  <c r="O7" i="13"/>
  <c r="R6" i="13"/>
  <c r="U6" i="13"/>
  <c r="N7" i="13"/>
  <c r="M29" i="13"/>
  <c r="Q9" i="13"/>
  <c r="P15" i="13"/>
  <c r="V15" i="13"/>
  <c r="V34" i="13"/>
  <c r="U31" i="13"/>
  <c r="W31" i="13"/>
  <c r="AT5" i="13"/>
  <c r="AS5" i="13"/>
  <c r="AL5" i="13"/>
  <c r="AK5" i="13"/>
  <c r="AJ5" i="13"/>
  <c r="AI5" i="13"/>
  <c r="I5" i="13"/>
  <c r="X5" i="13" s="1"/>
  <c r="H5" i="13"/>
  <c r="F5" i="13"/>
  <c r="E5" i="13"/>
  <c r="L34" i="13" s="1"/>
  <c r="A5" i="13"/>
  <c r="AX4" i="13"/>
  <c r="AN4" i="13"/>
  <c r="AM4" i="13"/>
  <c r="AK4" i="13"/>
  <c r="I4" i="13"/>
  <c r="O4" i="13" s="1"/>
  <c r="H4" i="13"/>
  <c r="F4" i="13"/>
  <c r="E4" i="13"/>
  <c r="K29" i="13" s="1"/>
  <c r="A4" i="13"/>
  <c r="AX3" i="13"/>
  <c r="AN3" i="13"/>
  <c r="AM3" i="13"/>
  <c r="AK3" i="13"/>
  <c r="AF3" i="13"/>
  <c r="AD3" i="13"/>
  <c r="I3" i="13"/>
  <c r="W3" i="13" s="1"/>
  <c r="H3" i="13"/>
  <c r="F3" i="13"/>
  <c r="E3" i="13"/>
  <c r="A3" i="13"/>
  <c r="AT2" i="13"/>
  <c r="AS2" i="13"/>
  <c r="AR2" i="13"/>
  <c r="AQ2" i="13"/>
  <c r="AP2" i="13"/>
  <c r="AO2" i="13"/>
  <c r="AN2" i="13"/>
  <c r="AM2" i="13"/>
  <c r="X2" i="13"/>
  <c r="W2" i="13" s="1"/>
  <c r="V2" i="13" s="1"/>
  <c r="U2" i="13"/>
  <c r="T2" i="13"/>
  <c r="S2" i="13"/>
  <c r="R2" i="13"/>
  <c r="Q2" i="13"/>
  <c r="P2" i="13"/>
  <c r="O2" i="13"/>
  <c r="N2" i="13"/>
  <c r="M2" i="13"/>
  <c r="L2" i="13"/>
  <c r="K2" i="13"/>
  <c r="J2" i="13"/>
  <c r="AX78" i="12"/>
  <c r="AX33" i="12" s="1"/>
  <c r="O25" i="5" s="1"/>
  <c r="AW78" i="12"/>
  <c r="AV78" i="12"/>
  <c r="D44" i="12"/>
  <c r="D40" i="12"/>
  <c r="I34" i="12"/>
  <c r="H34" i="12"/>
  <c r="I33" i="12"/>
  <c r="H33" i="12"/>
  <c r="AT32" i="12"/>
  <c r="AS32" i="12"/>
  <c r="I32" i="12"/>
  <c r="H32" i="12"/>
  <c r="AT31" i="12"/>
  <c r="AS31" i="12"/>
  <c r="AI31" i="12"/>
  <c r="I31" i="12"/>
  <c r="H31" i="12"/>
  <c r="AT30" i="12"/>
  <c r="AS30" i="12"/>
  <c r="AJ30" i="12"/>
  <c r="I30" i="12"/>
  <c r="H30" i="12"/>
  <c r="AK29" i="12"/>
  <c r="I29" i="12"/>
  <c r="H29" i="12"/>
  <c r="AF28" i="12"/>
  <c r="I28" i="12"/>
  <c r="H28" i="12"/>
  <c r="AF27" i="12"/>
  <c r="I27" i="12"/>
  <c r="H27" i="12"/>
  <c r="AF26" i="12"/>
  <c r="I26" i="12"/>
  <c r="H26" i="12"/>
  <c r="AF25" i="12"/>
  <c r="I25" i="12"/>
  <c r="H25" i="12"/>
  <c r="AF24" i="12"/>
  <c r="I24" i="12"/>
  <c r="H24" i="12"/>
  <c r="AF23" i="12"/>
  <c r="I23" i="12"/>
  <c r="H23" i="12"/>
  <c r="AF22" i="12"/>
  <c r="I22" i="12"/>
  <c r="H22" i="12"/>
  <c r="AF21" i="12"/>
  <c r="I21" i="12"/>
  <c r="H21" i="12"/>
  <c r="F21" i="12"/>
  <c r="B21" i="12"/>
  <c r="AB9" i="12" s="1"/>
  <c r="AF20" i="12"/>
  <c r="I20" i="12"/>
  <c r="H20" i="12"/>
  <c r="F20" i="12"/>
  <c r="B20" i="12"/>
  <c r="AA9" i="12" s="1"/>
  <c r="I19" i="12"/>
  <c r="H19" i="12"/>
  <c r="F19" i="12"/>
  <c r="B19" i="12"/>
  <c r="AE18" i="12"/>
  <c r="I18" i="12"/>
  <c r="H18" i="12"/>
  <c r="F18" i="12"/>
  <c r="B18" i="12"/>
  <c r="Y9" i="12" s="1"/>
  <c r="AN17" i="12"/>
  <c r="AM17" i="12"/>
  <c r="AL17" i="12"/>
  <c r="AF17" i="12"/>
  <c r="AE17" i="12"/>
  <c r="AD17" i="12"/>
  <c r="I17" i="12"/>
  <c r="H17" i="12"/>
  <c r="F17" i="12"/>
  <c r="E17" i="12"/>
  <c r="A17" i="12"/>
  <c r="AN16" i="12"/>
  <c r="AM16" i="12"/>
  <c r="AF16" i="12"/>
  <c r="AE16" i="12"/>
  <c r="AD16" i="12"/>
  <c r="I16" i="12"/>
  <c r="H16" i="12"/>
  <c r="F16" i="12"/>
  <c r="E16" i="12"/>
  <c r="A16" i="12"/>
  <c r="W2" i="12" s="1"/>
  <c r="AT15" i="12"/>
  <c r="AS15" i="12"/>
  <c r="AN15" i="12"/>
  <c r="AI15" i="12"/>
  <c r="I15" i="12"/>
  <c r="X15" i="12" s="1"/>
  <c r="H15" i="12"/>
  <c r="F15" i="12"/>
  <c r="E15" i="12"/>
  <c r="A15" i="12"/>
  <c r="V2" i="12" s="1"/>
  <c r="AK14" i="12"/>
  <c r="I14" i="12"/>
  <c r="H14" i="12"/>
  <c r="F14" i="12"/>
  <c r="E14" i="12"/>
  <c r="A14" i="12"/>
  <c r="AN13" i="12"/>
  <c r="AM13" i="12"/>
  <c r="AF13" i="12"/>
  <c r="AE13" i="12"/>
  <c r="AD13" i="12"/>
  <c r="I13" i="12"/>
  <c r="H13" i="12"/>
  <c r="F13" i="12"/>
  <c r="E13" i="12"/>
  <c r="A13" i="12"/>
  <c r="AN12" i="12"/>
  <c r="AM12" i="12"/>
  <c r="AF12" i="12"/>
  <c r="AE12" i="12"/>
  <c r="AD12" i="12"/>
  <c r="I12" i="12"/>
  <c r="H12" i="12"/>
  <c r="F12" i="12"/>
  <c r="E12" i="12"/>
  <c r="A12" i="12"/>
  <c r="AT11" i="12"/>
  <c r="AS11" i="12"/>
  <c r="AN11" i="12"/>
  <c r="AJ11" i="12"/>
  <c r="I11" i="12"/>
  <c r="H11" i="12"/>
  <c r="F11" i="12"/>
  <c r="E11" i="12"/>
  <c r="A11" i="12"/>
  <c r="AN10" i="12"/>
  <c r="AM10" i="12"/>
  <c r="AK10" i="12"/>
  <c r="AF10" i="12"/>
  <c r="AE10" i="12"/>
  <c r="AD10" i="12"/>
  <c r="I10" i="12"/>
  <c r="H10" i="12"/>
  <c r="F10" i="12"/>
  <c r="E10" i="12"/>
  <c r="A10" i="12"/>
  <c r="AQ9" i="12"/>
  <c r="AP9" i="12"/>
  <c r="AO9" i="12"/>
  <c r="AN9" i="12"/>
  <c r="AM9" i="12"/>
  <c r="AL9" i="12"/>
  <c r="AK9" i="12"/>
  <c r="AF9" i="12"/>
  <c r="AE9" i="12"/>
  <c r="AD9" i="12"/>
  <c r="Z9" i="12"/>
  <c r="I9" i="12"/>
  <c r="H9" i="12"/>
  <c r="F9" i="12"/>
  <c r="E9" i="12"/>
  <c r="A9" i="12"/>
  <c r="AK8" i="12"/>
  <c r="I8" i="12"/>
  <c r="H8" i="12"/>
  <c r="F8" i="12"/>
  <c r="E8" i="12"/>
  <c r="A8" i="12"/>
  <c r="AX7" i="12"/>
  <c r="O8" i="5" s="1"/>
  <c r="AT7" i="12"/>
  <c r="AS7" i="12"/>
  <c r="AR7" i="12"/>
  <c r="AQ7" i="12"/>
  <c r="AP7" i="12"/>
  <c r="AO7" i="12"/>
  <c r="AN7" i="12"/>
  <c r="AM7" i="12"/>
  <c r="AL7" i="12"/>
  <c r="AK7" i="12"/>
  <c r="AI7" i="12"/>
  <c r="AH7" i="12"/>
  <c r="AF7" i="12"/>
  <c r="I7" i="12"/>
  <c r="O7" i="12" s="1"/>
  <c r="H7" i="12"/>
  <c r="F7" i="12"/>
  <c r="E7" i="12"/>
  <c r="A7" i="12"/>
  <c r="AT6" i="12"/>
  <c r="AS6" i="12"/>
  <c r="AK6" i="12"/>
  <c r="I6" i="12"/>
  <c r="H6" i="12"/>
  <c r="F6" i="12"/>
  <c r="E6" i="12"/>
  <c r="A6" i="12"/>
  <c r="AT5" i="12"/>
  <c r="AS5" i="12"/>
  <c r="AL5" i="12"/>
  <c r="AK5" i="12"/>
  <c r="AJ5" i="12"/>
  <c r="AI5" i="12"/>
  <c r="I5" i="12"/>
  <c r="H5" i="12"/>
  <c r="F5" i="12"/>
  <c r="E5" i="12"/>
  <c r="A5" i="12"/>
  <c r="AN4" i="12"/>
  <c r="AM4" i="12"/>
  <c r="AK4" i="12"/>
  <c r="I4" i="12"/>
  <c r="H4" i="12"/>
  <c r="F4" i="12"/>
  <c r="E4" i="12"/>
  <c r="A4" i="12"/>
  <c r="AN3" i="12"/>
  <c r="AM3" i="12"/>
  <c r="AK3" i="12"/>
  <c r="AF3" i="12"/>
  <c r="AD3" i="12"/>
  <c r="I3" i="12"/>
  <c r="H3" i="12"/>
  <c r="F3" i="12"/>
  <c r="E3" i="12"/>
  <c r="A3" i="12"/>
  <c r="AT2" i="12"/>
  <c r="AS2" i="12"/>
  <c r="AR2" i="12"/>
  <c r="AQ2" i="12"/>
  <c r="AP2" i="12"/>
  <c r="AO2" i="12"/>
  <c r="AN2" i="12"/>
  <c r="AM2" i="12"/>
  <c r="X2" i="12"/>
  <c r="U2" i="12"/>
  <c r="T2" i="12"/>
  <c r="S2" i="12"/>
  <c r="R2" i="12"/>
  <c r="Q2" i="12"/>
  <c r="P2" i="12"/>
  <c r="O2" i="12"/>
  <c r="N2" i="12"/>
  <c r="M2" i="12"/>
  <c r="L2" i="12"/>
  <c r="K2" i="12"/>
  <c r="J2" i="12"/>
  <c r="F50" i="5"/>
  <c r="D50" i="5"/>
  <c r="O4" i="12" l="1"/>
  <c r="AX14" i="12"/>
  <c r="O15" i="5" s="1"/>
  <c r="AX15" i="12"/>
  <c r="O16" i="5" s="1"/>
  <c r="AX4" i="12"/>
  <c r="O5" i="5" s="1"/>
  <c r="AX5" i="12"/>
  <c r="O6" i="5" s="1"/>
  <c r="AX12" i="12"/>
  <c r="O13" i="5" s="1"/>
  <c r="AX19" i="12"/>
  <c r="O20" i="5" s="1"/>
  <c r="AX20" i="12"/>
  <c r="AX21" i="12"/>
  <c r="AX22" i="12"/>
  <c r="AX23" i="12"/>
  <c r="AX24" i="12"/>
  <c r="AX25" i="12"/>
  <c r="AX26" i="12"/>
  <c r="AX27" i="12"/>
  <c r="AX28" i="12"/>
  <c r="AX29" i="12"/>
  <c r="O21" i="5" s="1"/>
  <c r="AX30" i="12"/>
  <c r="O22" i="5" s="1"/>
  <c r="AX31" i="12"/>
  <c r="O23" i="5" s="1"/>
  <c r="W3" i="12"/>
  <c r="AX3" i="12"/>
  <c r="O4" i="5" s="1"/>
  <c r="V5" i="12"/>
  <c r="V6" i="12"/>
  <c r="AX6" i="12"/>
  <c r="O7" i="5" s="1"/>
  <c r="AX8" i="12"/>
  <c r="O9" i="5" s="1"/>
  <c r="AX9" i="12"/>
  <c r="O10" i="5" s="1"/>
  <c r="AX10" i="12"/>
  <c r="O11" i="5" s="1"/>
  <c r="AX11" i="12"/>
  <c r="O12" i="5" s="1"/>
  <c r="AX13" i="12"/>
  <c r="O14" i="5" s="1"/>
  <c r="AX16" i="12"/>
  <c r="O17" i="5" s="1"/>
  <c r="AX17" i="12"/>
  <c r="O18" i="5" s="1"/>
  <c r="AX18" i="12"/>
  <c r="O19" i="5" s="1"/>
  <c r="AX32" i="12"/>
  <c r="O24" i="5" s="1"/>
  <c r="P15" i="12"/>
  <c r="Q9" i="12"/>
  <c r="K3" i="12"/>
  <c r="W15" i="12"/>
  <c r="L18" i="12"/>
  <c r="V18" i="12"/>
  <c r="F40" i="13"/>
  <c r="N7" i="12"/>
  <c r="P7" i="12"/>
  <c r="O29" i="12"/>
  <c r="V31" i="12"/>
  <c r="U32" i="12"/>
  <c r="W34" i="12"/>
  <c r="M18" i="12"/>
  <c r="X19" i="12"/>
  <c r="X33" i="12"/>
  <c r="L18" i="13"/>
  <c r="J3" i="12"/>
  <c r="M4" i="12"/>
  <c r="M5" i="12"/>
  <c r="X5" i="12"/>
  <c r="W5" i="12" s="1"/>
  <c r="L6" i="12"/>
  <c r="X6" i="12"/>
  <c r="W6" i="12" s="1"/>
  <c r="V15" i="12"/>
  <c r="K29" i="12"/>
  <c r="M29" i="12"/>
  <c r="Q29" i="12"/>
  <c r="U31" i="12"/>
  <c r="W31" i="12"/>
  <c r="L34" i="12"/>
  <c r="V34" i="12"/>
  <c r="D45" i="12"/>
  <c r="K3" i="13"/>
  <c r="K4" i="13"/>
  <c r="M4" i="13"/>
  <c r="Q4" i="13"/>
  <c r="K5" i="13"/>
  <c r="M5" i="13"/>
  <c r="P5" i="13"/>
  <c r="R5" i="13"/>
  <c r="U5" i="13"/>
  <c r="W5" i="13"/>
  <c r="J34" i="13"/>
  <c r="E44" i="13" s="1"/>
  <c r="E45" i="13" s="1"/>
  <c r="J29" i="13"/>
  <c r="J6" i="13"/>
  <c r="K4" i="12"/>
  <c r="Q4" i="12"/>
  <c r="K5" i="12"/>
  <c r="P5" i="12"/>
  <c r="R5" i="12"/>
  <c r="U5" i="12"/>
  <c r="R6" i="12"/>
  <c r="U6" i="12"/>
  <c r="J4" i="12"/>
  <c r="L4" i="12"/>
  <c r="J5" i="12"/>
  <c r="L5" i="12"/>
  <c r="O5" i="12"/>
  <c r="Q5" i="12"/>
  <c r="S5" i="12"/>
  <c r="J6" i="12"/>
  <c r="Q6" i="12"/>
  <c r="S6" i="12"/>
  <c r="S7" i="12"/>
  <c r="T8" i="12"/>
  <c r="N8" i="12" s="1"/>
  <c r="R10" i="12"/>
  <c r="S11" i="12"/>
  <c r="T14" i="12"/>
  <c r="U15" i="12"/>
  <c r="J29" i="12"/>
  <c r="L29" i="12"/>
  <c r="S30" i="12"/>
  <c r="P31" i="12"/>
  <c r="J34" i="12"/>
  <c r="Q34" i="12"/>
  <c r="J3" i="13"/>
  <c r="J4" i="13"/>
  <c r="L4" i="13"/>
  <c r="J5" i="13"/>
  <c r="L5" i="13"/>
  <c r="O5" i="13"/>
  <c r="Q5" i="13"/>
  <c r="S5" i="13"/>
  <c r="V5" i="13"/>
  <c r="L29" i="13"/>
  <c r="L6" i="13"/>
  <c r="J27" i="5"/>
  <c r="E44" i="12" l="1"/>
  <c r="E43" i="12" s="1"/>
  <c r="B50" i="5" s="1"/>
  <c r="E43" i="13"/>
  <c r="C50" i="5" s="1"/>
  <c r="J15" i="5"/>
  <c r="J14" i="5"/>
  <c r="J13" i="5"/>
  <c r="O33" i="5"/>
  <c r="J12" i="5"/>
  <c r="J11" i="5"/>
  <c r="J10" i="5"/>
  <c r="J9" i="5"/>
  <c r="J8" i="5"/>
  <c r="J7" i="5"/>
  <c r="J6" i="5"/>
  <c r="AU3" i="13" l="1"/>
  <c r="AV3" i="13" s="1"/>
  <c r="AU14" i="12"/>
  <c r="AV14" i="12" s="1"/>
  <c r="AW14" i="12"/>
  <c r="AU7" i="13"/>
  <c r="AU11" i="13"/>
  <c r="AU31" i="13"/>
  <c r="AW31" i="13" s="1"/>
  <c r="AV31" i="13" s="1"/>
  <c r="AU13" i="13"/>
  <c r="AW13" i="13" s="1"/>
  <c r="AU17" i="13"/>
  <c r="AW17" i="13" s="1"/>
  <c r="AU9" i="13"/>
  <c r="AV9" i="13" s="1"/>
  <c r="AU6" i="13"/>
  <c r="AW6" i="13" s="1"/>
  <c r="AU15" i="13"/>
  <c r="AW15" i="13" s="1"/>
  <c r="AU10" i="13"/>
  <c r="AV10" i="13" s="1"/>
  <c r="AU12" i="13"/>
  <c r="AV12" i="13" s="1"/>
  <c r="AU22" i="13"/>
  <c r="AW22" i="13" s="1"/>
  <c r="AU23" i="13"/>
  <c r="AV23" i="13" s="1"/>
  <c r="AU8" i="13"/>
  <c r="AV8" i="13" s="1"/>
  <c r="AU19" i="13"/>
  <c r="AW19" i="13" s="1"/>
  <c r="AU14" i="13"/>
  <c r="AV14" i="13" s="1"/>
  <c r="AU21" i="13"/>
  <c r="AW21" i="13" s="1"/>
  <c r="AU26" i="13"/>
  <c r="AW26" i="13" s="1"/>
  <c r="AV26" i="13" s="1"/>
  <c r="AU4" i="13"/>
  <c r="AV4" i="13" s="1"/>
  <c r="AU16" i="13"/>
  <c r="AW16" i="13" s="1"/>
  <c r="AU33" i="13"/>
  <c r="AW33" i="13" s="1"/>
  <c r="AU20" i="13"/>
  <c r="AW20" i="13" s="1"/>
  <c r="AU32" i="13"/>
  <c r="AW32" i="13" s="1"/>
  <c r="AV32" i="13" s="1"/>
  <c r="AU28" i="13"/>
  <c r="AW28" i="13" s="1"/>
  <c r="AV28" i="13" s="1"/>
  <c r="AU24" i="13"/>
  <c r="AV24" i="13" s="1"/>
  <c r="AU27" i="13"/>
  <c r="AV27" i="13" s="1"/>
  <c r="AU25" i="13"/>
  <c r="AW25" i="13" s="1"/>
  <c r="AV25" i="13" s="1"/>
  <c r="AU29" i="13"/>
  <c r="AW29" i="13" s="1"/>
  <c r="AV29" i="13" s="1"/>
  <c r="AW3" i="13"/>
  <c r="AU5" i="13"/>
  <c r="AU18" i="13"/>
  <c r="O37" i="5"/>
  <c r="O35" i="5"/>
  <c r="O36" i="5"/>
  <c r="E45" i="12"/>
  <c r="AW9" i="13"/>
  <c r="F40" i="12"/>
  <c r="AU28" i="12"/>
  <c r="AW28" i="12" s="1"/>
  <c r="AV28" i="12" s="1"/>
  <c r="AU27" i="12"/>
  <c r="AW27" i="12" s="1"/>
  <c r="AV27" i="12" s="1"/>
  <c r="AU26" i="12"/>
  <c r="AW26" i="12" s="1"/>
  <c r="AV26" i="12" s="1"/>
  <c r="AU25" i="12"/>
  <c r="AW25" i="12" s="1"/>
  <c r="AV25" i="12" s="1"/>
  <c r="AU24" i="12"/>
  <c r="AW24" i="12" s="1"/>
  <c r="AV24" i="12" s="1"/>
  <c r="AU23" i="12"/>
  <c r="AW23" i="12" s="1"/>
  <c r="AV23" i="12" s="1"/>
  <c r="AU22" i="12"/>
  <c r="AW22" i="12" s="1"/>
  <c r="AV22" i="12" s="1"/>
  <c r="AU21" i="12"/>
  <c r="AW21" i="12" s="1"/>
  <c r="AV21" i="12" s="1"/>
  <c r="AU20" i="12"/>
  <c r="AW20" i="12" s="1"/>
  <c r="AV20" i="12" s="1"/>
  <c r="AU9" i="12"/>
  <c r="AU17" i="12"/>
  <c r="AU32" i="12"/>
  <c r="AU18" i="12"/>
  <c r="AU12" i="12"/>
  <c r="AU4" i="12"/>
  <c r="AU19" i="12"/>
  <c r="AU33" i="12"/>
  <c r="AU13" i="12"/>
  <c r="AU16" i="12"/>
  <c r="AW7" i="13"/>
  <c r="AV13" i="13"/>
  <c r="AW8" i="13"/>
  <c r="AV19" i="13"/>
  <c r="AW12" i="13"/>
  <c r="AW14" i="13"/>
  <c r="AV17" i="13"/>
  <c r="AV21" i="13"/>
  <c r="AV22" i="13"/>
  <c r="AW23" i="13"/>
  <c r="AU3" i="12"/>
  <c r="AU11" i="12"/>
  <c r="AU31" i="12"/>
  <c r="N23" i="5" s="1"/>
  <c r="C6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AU7" i="12"/>
  <c r="AU30" i="12"/>
  <c r="AV15" i="13"/>
  <c r="AW10" i="13"/>
  <c r="AV11" i="13"/>
  <c r="AV16" i="13"/>
  <c r="AV33" i="13"/>
  <c r="AV20" i="13"/>
  <c r="AW24" i="13"/>
  <c r="AW27" i="13"/>
  <c r="AU8" i="12"/>
  <c r="AU29" i="12"/>
  <c r="AU6" i="12"/>
  <c r="AU15" i="12"/>
  <c r="N16" i="5" s="1"/>
  <c r="AU5" i="12"/>
  <c r="AU10" i="12"/>
  <c r="J5" i="5"/>
  <c r="O34" i="5"/>
  <c r="J4" i="5"/>
  <c r="N8" i="5" l="1"/>
  <c r="AV7" i="13"/>
  <c r="AV6" i="13"/>
  <c r="N7" i="5"/>
  <c r="AW11" i="13"/>
  <c r="N12" i="5"/>
  <c r="AW4" i="13"/>
  <c r="AW3" i="12"/>
  <c r="AW33" i="12"/>
  <c r="AW4" i="12"/>
  <c r="AV3" i="12"/>
  <c r="AV4" i="12"/>
  <c r="AV18" i="13"/>
  <c r="AW18" i="13"/>
  <c r="AV5" i="13"/>
  <c r="AW5" i="13"/>
  <c r="AW10" i="12"/>
  <c r="AW15" i="12"/>
  <c r="AW29" i="12"/>
  <c r="AW30" i="12"/>
  <c r="AW31" i="12"/>
  <c r="AW13" i="12"/>
  <c r="AW19" i="12"/>
  <c r="AW12" i="12"/>
  <c r="AW32" i="12"/>
  <c r="AV9" i="12"/>
  <c r="AW9" i="12"/>
  <c r="AW5" i="12"/>
  <c r="AW6" i="12"/>
  <c r="AW8" i="12"/>
  <c r="AV7" i="12"/>
  <c r="AW7" i="12"/>
  <c r="AW11" i="12"/>
  <c r="AW16" i="12"/>
  <c r="AV33" i="12"/>
  <c r="AW18" i="12"/>
  <c r="AW17" i="12"/>
  <c r="AV8" i="12" l="1"/>
  <c r="AV12" i="12"/>
  <c r="AV30" i="12"/>
  <c r="AV15" i="12"/>
  <c r="AV18" i="12"/>
  <c r="AV11" i="12"/>
  <c r="AV6" i="12"/>
  <c r="AV32" i="12"/>
  <c r="AV19" i="12"/>
  <c r="AV31" i="12"/>
  <c r="AV29" i="12"/>
  <c r="AV16" i="12"/>
  <c r="AV5" i="12"/>
  <c r="AV10" i="12"/>
  <c r="AV17" i="12"/>
  <c r="AV13" i="12"/>
  <c r="AU30" i="13"/>
  <c r="N22" i="5" s="1"/>
  <c r="H6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F40" i="15"/>
  <c r="D45" i="15"/>
  <c r="AW30" i="13" l="1"/>
  <c r="AV30" i="13"/>
  <c r="E43" i="15"/>
  <c r="E50" i="5" s="1"/>
  <c r="E45" i="15"/>
  <c r="AU27" i="15" l="1"/>
  <c r="AU25" i="15"/>
  <c r="AU23" i="15"/>
  <c r="AU21" i="15"/>
  <c r="AU9" i="15"/>
  <c r="L10" i="5" s="1"/>
  <c r="L6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AU13" i="15"/>
  <c r="L14" i="5" s="1"/>
  <c r="AU32" i="15"/>
  <c r="L24" i="5" s="1"/>
  <c r="AU10" i="15"/>
  <c r="L11" i="5" s="1"/>
  <c r="AU12" i="15"/>
  <c r="L13" i="5" s="1"/>
  <c r="AU17" i="15"/>
  <c r="L18" i="5" s="1"/>
  <c r="AU20" i="15"/>
  <c r="AU24" i="15"/>
  <c r="AU28" i="15"/>
  <c r="AU33" i="15"/>
  <c r="L25" i="5" s="1"/>
  <c r="AU3" i="15"/>
  <c r="AU14" i="15"/>
  <c r="L15" i="5" s="1"/>
  <c r="AU11" i="15"/>
  <c r="L12" i="5" s="1"/>
  <c r="AU16" i="15"/>
  <c r="L17" i="5" s="1"/>
  <c r="AU19" i="15"/>
  <c r="L20" i="5" s="1"/>
  <c r="AU22" i="15"/>
  <c r="AU26" i="15"/>
  <c r="AU30" i="15"/>
  <c r="L22" i="5" s="1"/>
  <c r="G6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AU15" i="15"/>
  <c r="L16" i="5" s="1"/>
  <c r="AU5" i="15"/>
  <c r="AU6" i="15"/>
  <c r="L7" i="5" s="1"/>
  <c r="AU18" i="15"/>
  <c r="L19" i="5" s="1"/>
  <c r="AU31" i="15"/>
  <c r="L23" i="5" s="1"/>
  <c r="B6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AU7" i="15"/>
  <c r="L8" i="5" s="1"/>
  <c r="AU4" i="15"/>
  <c r="AU29" i="15"/>
  <c r="AU8" i="15"/>
  <c r="L9" i="5" s="1"/>
  <c r="L6" i="5" l="1"/>
  <c r="N6" i="5"/>
  <c r="L4" i="5"/>
  <c r="N4" i="5"/>
  <c r="L21" i="5"/>
  <c r="N21" i="5"/>
  <c r="L5" i="5"/>
  <c r="N5" i="5"/>
  <c r="AW8" i="15"/>
  <c r="M9" i="5" s="1"/>
  <c r="AV8" i="15"/>
  <c r="K9" i="5" s="1"/>
  <c r="AV4" i="15"/>
  <c r="K5" i="5" s="1"/>
  <c r="AW4" i="15"/>
  <c r="M5" i="5" s="1"/>
  <c r="AV31" i="15"/>
  <c r="K23" i="5" s="1"/>
  <c r="AW31" i="15"/>
  <c r="M23" i="5" s="1"/>
  <c r="AW6" i="15"/>
  <c r="M7" i="5" s="1"/>
  <c r="AV6" i="15"/>
  <c r="K7" i="5" s="1"/>
  <c r="AW15" i="15"/>
  <c r="M16" i="5" s="1"/>
  <c r="AV15" i="15"/>
  <c r="K16" i="5" s="1"/>
  <c r="AV26" i="15"/>
  <c r="AW26" i="15"/>
  <c r="AW19" i="15"/>
  <c r="M20" i="5" s="1"/>
  <c r="AV19" i="15"/>
  <c r="K20" i="5" s="1"/>
  <c r="AV11" i="15"/>
  <c r="K12" i="5" s="1"/>
  <c r="AW11" i="15"/>
  <c r="M12" i="5" s="1"/>
  <c r="AW3" i="15"/>
  <c r="M4" i="5" s="1"/>
  <c r="AV3" i="15"/>
  <c r="K4" i="5" s="1"/>
  <c r="AV28" i="15"/>
  <c r="AW28" i="15"/>
  <c r="AV20" i="15"/>
  <c r="AW20" i="15"/>
  <c r="AW12" i="15"/>
  <c r="M13" i="5" s="1"/>
  <c r="AV12" i="15"/>
  <c r="K13" i="5" s="1"/>
  <c r="AW32" i="15"/>
  <c r="M24" i="5" s="1"/>
  <c r="AV32" i="15"/>
  <c r="K24" i="5" s="1"/>
  <c r="AV9" i="15"/>
  <c r="K10" i="5" s="1"/>
  <c r="AW9" i="15"/>
  <c r="M10" i="5" s="1"/>
  <c r="AW23" i="15"/>
  <c r="AV23" i="15"/>
  <c r="AW27" i="15"/>
  <c r="AV27" i="15"/>
  <c r="AW29" i="15"/>
  <c r="M21" i="5" s="1"/>
  <c r="AV29" i="15"/>
  <c r="K21" i="5" s="1"/>
  <c r="AV7" i="15"/>
  <c r="K8" i="5" s="1"/>
  <c r="AW7" i="15"/>
  <c r="M8" i="5" s="1"/>
  <c r="AV18" i="15"/>
  <c r="K19" i="5" s="1"/>
  <c r="AW18" i="15"/>
  <c r="M19" i="5" s="1"/>
  <c r="AW5" i="15"/>
  <c r="M6" i="5" s="1"/>
  <c r="AV5" i="15"/>
  <c r="K6" i="5" s="1"/>
  <c r="AW30" i="15"/>
  <c r="M22" i="5" s="1"/>
  <c r="AV30" i="15"/>
  <c r="K22" i="5" s="1"/>
  <c r="AV22" i="15"/>
  <c r="AW22" i="15"/>
  <c r="AV16" i="15"/>
  <c r="K17" i="5" s="1"/>
  <c r="AW16" i="15"/>
  <c r="M17" i="5" s="1"/>
  <c r="AV14" i="15"/>
  <c r="K15" i="5" s="1"/>
  <c r="AW14" i="15"/>
  <c r="M15" i="5" s="1"/>
  <c r="AV33" i="15"/>
  <c r="K25" i="5" s="1"/>
  <c r="AW33" i="15"/>
  <c r="M25" i="5" s="1"/>
  <c r="AV24" i="15"/>
  <c r="AW24" i="15"/>
  <c r="AV17" i="15"/>
  <c r="K18" i="5" s="1"/>
  <c r="AW17" i="15"/>
  <c r="M18" i="5" s="1"/>
  <c r="AW10" i="15"/>
  <c r="M11" i="5" s="1"/>
  <c r="AV10" i="15"/>
  <c r="K11" i="5" s="1"/>
  <c r="AV13" i="15"/>
  <c r="K14" i="5" s="1"/>
  <c r="AW13" i="15"/>
  <c r="M14" i="5" s="1"/>
  <c r="AW21" i="15"/>
  <c r="AV21" i="15"/>
  <c r="AW25" i="15"/>
  <c r="AV25" i="15"/>
  <c r="M41" i="5" l="1"/>
  <c r="M39" i="5"/>
  <c r="M40" i="5"/>
  <c r="M38" i="5"/>
  <c r="K41" i="5"/>
  <c r="K39" i="5"/>
  <c r="K40" i="5"/>
  <c r="K38" i="5"/>
  <c r="M34" i="5"/>
  <c r="K33" i="5"/>
  <c r="K37" i="5"/>
  <c r="K35" i="5"/>
  <c r="K36" i="5"/>
  <c r="M33" i="5"/>
  <c r="M36" i="5"/>
  <c r="M37" i="5"/>
  <c r="M35" i="5"/>
  <c r="K34" i="5"/>
</calcChain>
</file>

<file path=xl/comments1.xml><?xml version="1.0" encoding="utf-8"?>
<comments xmlns="http://schemas.openxmlformats.org/spreadsheetml/2006/main">
  <authors>
    <author>Peter</author>
    <author>P</author>
  </authors>
  <commentList>
    <comment ref="J39" authorId="0">
      <text>
        <r>
          <rPr>
            <sz val="9"/>
            <color indexed="81"/>
            <rFont val="Tahoma"/>
            <family val="2"/>
            <charset val="238"/>
          </rPr>
          <t xml:space="preserve">pomer K:N počítam, aby bola táto formulka univerzálna aj pre iné zdroje dusíka, nie iba pre NO3, ako je väčšina akvaristov zvyknutá
</t>
        </r>
        <r>
          <rPr>
            <b/>
            <sz val="9"/>
            <color indexed="81"/>
            <rFont val="Tahoma"/>
            <family val="2"/>
            <charset val="238"/>
          </rPr>
          <t xml:space="preserve">
známy pomer K:NO3 = 1:1 je v prepočte K:N = 4,42:1</t>
        </r>
      </text>
    </comment>
    <comment ref="J41" authorId="0">
      <text>
        <r>
          <rPr>
            <sz val="9"/>
            <color indexed="81"/>
            <rFont val="Tahoma"/>
            <family val="2"/>
            <charset val="238"/>
          </rPr>
          <t xml:space="preserve">pomer Mg:N počítam, aby bola táto formulka univerzálna aj pre iné zdroje dusíka, nie iba pre NO3, ako je väčšina akvaristov zvyknutá
</t>
        </r>
        <r>
          <rPr>
            <b/>
            <sz val="9"/>
            <color indexed="81"/>
            <rFont val="Tahoma"/>
            <family val="2"/>
            <charset val="238"/>
          </rPr>
          <t xml:space="preserve">
známy pomer Mg:NO3 = 0,6 je v prepočte Mg:N = 2,66</t>
        </r>
      </text>
    </comment>
    <comment ref="A50" authorId="1">
      <text>
        <r>
          <rPr>
            <sz val="9"/>
            <color indexed="81"/>
            <rFont val="Tahoma"/>
            <family val="2"/>
            <charset val="238"/>
          </rPr>
          <t>predpokladá sa, že cyklus výmeny vody je vo všetkých akváriách rovnako dlhý</t>
        </r>
      </text>
    </comment>
  </commentList>
</comments>
</file>

<file path=xl/comments10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2.xml><?xml version="1.0" encoding="utf-8"?>
<comments xmlns="http://schemas.openxmlformats.org/spreadsheetml/2006/main">
  <authors>
    <author>P</author>
  </authors>
  <commentList>
    <comment ref="B6" authorId="0">
      <text>
        <r>
          <rPr>
            <sz val="9"/>
            <color indexed="81"/>
            <rFont val="Tahoma"/>
            <family val="2"/>
            <charset val="238"/>
          </rPr>
          <t>Hodnota prebraná zo záložky "hnojenie", kde je vypočítaná celková dávka prvku v celom týždni.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>Hodnota prebraná zo záložky "hnojenie", kde je vypočítaná celková dávka prvku v celom týždni.</t>
        </r>
      </text>
    </comment>
    <comment ref="L6" authorId="0">
      <text>
        <r>
          <rPr>
            <sz val="9"/>
            <color indexed="81"/>
            <rFont val="Tahoma"/>
            <family val="2"/>
            <charset val="238"/>
          </rPr>
          <t>Hodnota prebraná zo záložky "hnojenie", kde je vypočítaná celková dávka prvku v celom týždni.</t>
        </r>
      </text>
    </comment>
    <comment ref="G7" authorId="0">
      <text>
        <r>
          <rPr>
            <sz val="9"/>
            <color indexed="81"/>
            <rFont val="Tahoma"/>
            <family val="2"/>
            <charset val="238"/>
          </rPr>
          <t>Hodnota prebraná z výpočtu pre NO3</t>
        </r>
      </text>
    </comment>
    <comment ref="L7" authorId="0">
      <text>
        <r>
          <rPr>
            <sz val="9"/>
            <color indexed="81"/>
            <rFont val="Tahoma"/>
            <family val="2"/>
            <charset val="238"/>
          </rPr>
          <t>Hodnota prebraná z výpočtu pre NO3</t>
        </r>
      </text>
    </comment>
  </commentList>
</comments>
</file>

<file path=xl/comments3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4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5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6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7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8.xml><?xml version="1.0" encoding="utf-8"?>
<comments xmlns="http://schemas.openxmlformats.org/spreadsheetml/2006/main">
  <authors>
    <author>Peter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K
Mg
Mn
I
B
Cu
Mo
Zn
Li
Ni
Co
Al
Sn
F
V
Se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KNO3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P
O
PO4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Koncentrácie hnojiva sa mi zdajú extrémne nízke, pri použití tohto hnojiva premerať Fe na overenie.
Ak niekto nájde inú analýzu tohto hnojiva, prosím kontaktovať ma na chnuro@gmail.com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H
B
O
Fe
Cl
Mg
Na
C
K
S
SO4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Mo
K
O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N
P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Fe
S
K
Mg
Mn
Zn
Cu
Mo
B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Fe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Počíta s prvkami:
</t>
        </r>
        <r>
          <rPr>
            <sz val="9"/>
            <color indexed="81"/>
            <rFont val="Tahoma"/>
            <family val="2"/>
            <charset val="238"/>
          </rPr>
          <t>K
N
O
P
H
NO3
NH4
PO4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Počíta s prvkami:</t>
        </r>
        <r>
          <rPr>
            <sz val="9"/>
            <color indexed="81"/>
            <rFont val="Tahoma"/>
            <family val="2"/>
            <charset val="238"/>
          </rPr>
          <t xml:space="preserve">
K
N
O
P
H
NO3
NH4
PO4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V prípade komerčného hnojiva zadať akékoľvek číslo, dôležitý je údaj </t>
        </r>
        <r>
          <rPr>
            <b/>
            <sz val="9"/>
            <color indexed="81"/>
            <rFont val="Tahoma"/>
            <family val="2"/>
            <charset val="238"/>
          </rPr>
          <t>"dávka do akvária"</t>
        </r>
      </text>
    </comment>
  </commentList>
</comments>
</file>

<file path=xl/comments9.xml><?xml version="1.0" encoding="utf-8"?>
<comments xmlns="http://schemas.openxmlformats.org/spreadsheetml/2006/main">
  <authors>
    <author>Peter</author>
  </authors>
  <commentList>
    <comment ref="AC2" authorId="0">
      <text>
        <r>
          <rPr>
            <sz val="9"/>
            <color indexed="81"/>
            <rFont val="Tahoma"/>
            <family val="2"/>
            <charset val="238"/>
          </rPr>
          <t>Nezdá sa mi koncentrácia roztoku a ani to nesedí s on-line kalkulačkami</t>
        </r>
      </text>
    </comment>
    <comment ref="AE9" authorId="0">
      <text>
        <r>
          <rPr>
            <b/>
            <sz val="9"/>
            <color indexed="81"/>
            <rFont val="Tahoma"/>
            <family val="2"/>
            <charset val="238"/>
          </rPr>
          <t>obsah chelátov nie je započítavaný do pridaných prvkov do akvária. Nazapočítava sa v žiadnom z hnojív.</t>
        </r>
      </text>
    </comment>
  </commentList>
</comments>
</file>

<file path=xl/sharedStrings.xml><?xml version="1.0" encoding="utf-8"?>
<sst xmlns="http://schemas.openxmlformats.org/spreadsheetml/2006/main" count="1526" uniqueCount="374">
  <si>
    <t>MgSO4*7H2O</t>
  </si>
  <si>
    <t>MgSO4</t>
  </si>
  <si>
    <t>KCl</t>
  </si>
  <si>
    <t>K2SO4</t>
  </si>
  <si>
    <t>KNO3</t>
  </si>
  <si>
    <t>Plantex CSM+B</t>
  </si>
  <si>
    <t>H3BO3</t>
  </si>
  <si>
    <t>KH2PO4</t>
  </si>
  <si>
    <t>NaCl</t>
  </si>
  <si>
    <t>NH4NO3</t>
  </si>
  <si>
    <t>prvky</t>
  </si>
  <si>
    <t>Mg</t>
  </si>
  <si>
    <t>S</t>
  </si>
  <si>
    <t>O</t>
  </si>
  <si>
    <t>H</t>
  </si>
  <si>
    <t>K</t>
  </si>
  <si>
    <t>Cl</t>
  </si>
  <si>
    <t>Fe</t>
  </si>
  <si>
    <t>B</t>
  </si>
  <si>
    <t>P</t>
  </si>
  <si>
    <t>Cu</t>
  </si>
  <si>
    <t>Zn</t>
  </si>
  <si>
    <t>Na</t>
  </si>
  <si>
    <t>N</t>
  </si>
  <si>
    <t>Mn</t>
  </si>
  <si>
    <t>CSM:</t>
  </si>
  <si>
    <t>Tenso:</t>
  </si>
  <si>
    <t>Fe 3.84%</t>
  </si>
  <si>
    <t>B 0.52%</t>
  </si>
  <si>
    <t>Mn 2.57%</t>
  </si>
  <si>
    <t>Mo 0.13%</t>
  </si>
  <si>
    <t>Zn 0.53%</t>
  </si>
  <si>
    <t>Cu 0.53%</t>
  </si>
  <si>
    <t>Ca 2.57%</t>
  </si>
  <si>
    <t>Mo</t>
  </si>
  <si>
    <t>%</t>
  </si>
  <si>
    <t>atomova hmotnost</t>
  </si>
  <si>
    <t>H2O</t>
  </si>
  <si>
    <t>Ca</t>
  </si>
  <si>
    <t>u=</t>
  </si>
  <si>
    <t>absolutna hmotnost (kg)</t>
  </si>
  <si>
    <t>C</t>
  </si>
  <si>
    <t>NA=</t>
  </si>
  <si>
    <t>AF</t>
  </si>
  <si>
    <t>EDTA min</t>
  </si>
  <si>
    <t>hustota H2O @20°C</t>
  </si>
  <si>
    <t>Tenso coctail</t>
  </si>
  <si>
    <t>Chemikalia</t>
  </si>
  <si>
    <t>hmotnost (g)</t>
  </si>
  <si>
    <t>koncentracia v roztoku (mg/l)</t>
  </si>
  <si>
    <t>SO4</t>
  </si>
  <si>
    <t>PO4</t>
  </si>
  <si>
    <t>(mol)</t>
  </si>
  <si>
    <t>vody k rozpusteniu (ml)</t>
  </si>
  <si>
    <t>NO3</t>
  </si>
  <si>
    <t>NH4</t>
  </si>
  <si>
    <t>-</t>
  </si>
  <si>
    <t>g/100ml nasyteneho roztoku @20°C</t>
  </si>
  <si>
    <t>H2O (mol)</t>
  </si>
  <si>
    <t>H2O (g)</t>
  </si>
  <si>
    <t>číslo</t>
  </si>
  <si>
    <t>popis</t>
  </si>
  <si>
    <t>odkaz</t>
  </si>
  <si>
    <t>http://www.eurochem.cz/polavolt/dodatky/tabulky/rozp.htm</t>
  </si>
  <si>
    <t>PMDD kalkulacka, ktora ma inspirovala</t>
  </si>
  <si>
    <t>http://pmdd.mrp-cz.com/index.php?stranky=calculator</t>
  </si>
  <si>
    <t>rozpustnosť látok - asi najrozsiahlejsia tabulka, co som nasiel</t>
  </si>
  <si>
    <t>počiatočné mnozstvo vody</t>
  </si>
  <si>
    <t>prepočet množstva vody po uvážení pridaní hydrátov</t>
  </si>
  <si>
    <t>H2O (ml)</t>
  </si>
  <si>
    <t>atómová hmotnosť</t>
  </si>
  <si>
    <t>http://sk.wikipedia.org/wiki/At%C3%B3mov%C3%A1_hmotnos%C5%A5</t>
  </si>
  <si>
    <t>Atómová hmotnostná jednotka</t>
  </si>
  <si>
    <t>http://sk.wikipedia.org/wiki/At%C3%B3mov%C3%A1_hmotnostn%C3%A1_jednotka</t>
  </si>
  <si>
    <t>http://sk.wikipedia.org/wiki/Relat%C3%ADvna_molekulov%C3%A1_hmotnos%C5%A5</t>
  </si>
  <si>
    <t>relatívna molekulová kmotnosť</t>
  </si>
  <si>
    <t>periodická sústava prvkov</t>
  </si>
  <si>
    <t>http://www.ptable.com/?lang=sk</t>
  </si>
  <si>
    <t>zauimava tabulka prvkov</t>
  </si>
  <si>
    <t>http://periodictable.com/</t>
  </si>
  <si>
    <t>http://www.physlink.com/Reference/PeriodicTable.cfm</t>
  </si>
  <si>
    <t>pouzita tabulka prvkov</t>
  </si>
  <si>
    <t>porovnanie chelatov Fe</t>
  </si>
  <si>
    <t>http://www.smart-fertilizer.com/articles/iron</t>
  </si>
  <si>
    <t>http://chemicalland21.com/specialtychem/perchem/chelating%20agents.htm</t>
  </si>
  <si>
    <t>o chelatoch Fe</t>
  </si>
  <si>
    <t>http://www.alibaba.com/product-gs/356997690/Fe_DTPA_7_.html</t>
  </si>
  <si>
    <t>vlastnosti DTPA</t>
  </si>
  <si>
    <t>http://www.solufeed.com/media/16652/solufeed%20fe%2011dtpa%20tds.pdf</t>
  </si>
  <si>
    <t>o EDTA</t>
  </si>
  <si>
    <t>http://www.haifachem.com/download/files/Multi-micro_Fe-EDTA_13.pdf</t>
  </si>
  <si>
    <t>o DTPA</t>
  </si>
  <si>
    <t>Fe EDDHA</t>
  </si>
  <si>
    <t>FE DTPA</t>
  </si>
  <si>
    <t>FE EDTA</t>
  </si>
  <si>
    <r>
      <rPr>
        <sz val="11"/>
        <rFont val="Calibri"/>
        <family val="2"/>
        <charset val="238"/>
        <scheme val="minor"/>
      </rPr>
      <t>Fe EDDHA</t>
    </r>
    <r>
      <rPr>
        <sz val="11"/>
        <color theme="0" tint="-0.499984740745262"/>
        <rFont val="Calibri"/>
        <family val="2"/>
        <charset val="238"/>
        <scheme val="minor"/>
      </rPr>
      <t xml:space="preserve">
C18H20O6N2Fe</t>
    </r>
  </si>
  <si>
    <t>Legenda</t>
  </si>
  <si>
    <t>vzor bunky</t>
  </si>
  <si>
    <t>vysvetlivka</t>
  </si>
  <si>
    <t>orientačný údaj</t>
  </si>
  <si>
    <t>cheláty</t>
  </si>
  <si>
    <t>nedá sa jednoznačne určiť / nie je možné určiť</t>
  </si>
  <si>
    <t>plantex</t>
  </si>
  <si>
    <t>http://www.plantprod.com/upload/File/2012PlantexProductGuide.pdf</t>
  </si>
  <si>
    <t>mnozstvo prvku v roztoku podľa prímesi (g)</t>
  </si>
  <si>
    <t>Fe EDDHA 6%</t>
  </si>
  <si>
    <r>
      <rPr>
        <sz val="11"/>
        <rFont val="Calibri"/>
        <family val="2"/>
        <charset val="238"/>
        <scheme val="minor"/>
      </rPr>
      <t>Fe DTPA</t>
    </r>
    <r>
      <rPr>
        <sz val="11"/>
        <color theme="0" tint="-0.499984740745262"/>
        <rFont val="Calibri"/>
        <family val="2"/>
        <charset val="238"/>
        <scheme val="minor"/>
      </rPr>
      <t xml:space="preserve">
C14H19FeN3NaO10</t>
    </r>
  </si>
  <si>
    <r>
      <rPr>
        <sz val="11"/>
        <rFont val="Calibri"/>
        <family val="2"/>
        <charset val="238"/>
        <scheme val="minor"/>
      </rPr>
      <t>Fe EDTA</t>
    </r>
    <r>
      <rPr>
        <sz val="11"/>
        <color theme="0" tint="-0.499984740745262"/>
        <rFont val="Calibri"/>
        <family val="2"/>
        <charset val="238"/>
        <scheme val="minor"/>
      </rPr>
      <t xml:space="preserve">
C10H16FeN2NaO8</t>
    </r>
  </si>
  <si>
    <r>
      <rPr>
        <sz val="11"/>
        <rFont val="Calibri"/>
        <family val="2"/>
        <charset val="238"/>
        <scheme val="minor"/>
      </rPr>
      <t>Fe DTPA</t>
    </r>
    <r>
      <rPr>
        <sz val="11"/>
        <color theme="0" tint="-0.499984740745262"/>
        <rFont val="Calibri"/>
        <family val="2"/>
        <charset val="238"/>
        <scheme val="minor"/>
      </rPr>
      <t xml:space="preserve">
C14H26FeN5O10</t>
    </r>
  </si>
  <si>
    <t>Fe DTPA 11%</t>
  </si>
  <si>
    <t>Tenso cotail</t>
  </si>
  <si>
    <t>z tabuliek - konštanta</t>
  </si>
  <si>
    <t>medzivýpočet, nemeniť</t>
  </si>
  <si>
    <t>vstupné hodnoty</t>
  </si>
  <si>
    <t>výstupné hodnoty</t>
  </si>
  <si>
    <t>Fe EDTA 13%</t>
  </si>
  <si>
    <t>Fe DTPA 6%</t>
  </si>
  <si>
    <t>spolu</t>
  </si>
  <si>
    <t>rozpustnosť
(g/100g vody @20deg)</t>
  </si>
  <si>
    <t>den po výmene vody:</t>
  </si>
  <si>
    <t>1.</t>
  </si>
  <si>
    <t>2.</t>
  </si>
  <si>
    <t>3.</t>
  </si>
  <si>
    <t>4.</t>
  </si>
  <si>
    <t>5.</t>
  </si>
  <si>
    <t>6.</t>
  </si>
  <si>
    <t>7.</t>
  </si>
  <si>
    <t>pridávaný roztok</t>
  </si>
  <si>
    <t>#1</t>
  </si>
  <si>
    <t>#2</t>
  </si>
  <si>
    <t>#3</t>
  </si>
  <si>
    <t>#4</t>
  </si>
  <si>
    <t>#5</t>
  </si>
  <si>
    <t>celková dávka medzi výmenou vody (mg/l)</t>
  </si>
  <si>
    <t>denná dávka (mg/l)</t>
  </si>
  <si>
    <t>Jedna dávka do akvária č.1 (ml)</t>
  </si>
  <si>
    <t>Jedna dávka do akvária č.2 (ml)</t>
  </si>
  <si>
    <t>Jedna dávka do akvária č.3 (ml)</t>
  </si>
  <si>
    <t>hlavička údaju patriaceho výhradne pre akvárium č. 1</t>
  </si>
  <si>
    <t>text č. 2</t>
  </si>
  <si>
    <t>text č. 1</t>
  </si>
  <si>
    <t>text č. 3</t>
  </si>
  <si>
    <t>hlavička údaju patriaceho výhradne pre akvárium č. 2</t>
  </si>
  <si>
    <t>hlavička údaju patriaceho výhradne pre akvárium č. 3</t>
  </si>
  <si>
    <t>čistý objem akvária č.1 (l)</t>
  </si>
  <si>
    <t>čistý objem akvária č.2 (l)</t>
  </si>
  <si>
    <t>čistý objem akvária č.3 (l)</t>
  </si>
  <si>
    <t>Priprava roztoku (spolocny pre vsetky akvaria)</t>
  </si>
  <si>
    <t>Hnojenie pre akvárium č.1</t>
  </si>
  <si>
    <t>Akvárium č. 1</t>
  </si>
  <si>
    <t>Akvárium č. 2</t>
  </si>
  <si>
    <t>Akvárium č. 3</t>
  </si>
  <si>
    <t>text č. x</t>
  </si>
  <si>
    <t>neaktívne akvárium (vyhodnocuje sa podľa zadeného objemu akvária, musí byť &gt;0)</t>
  </si>
  <si>
    <t>koncentrácia v akváriu č.1 sa zvýši o
(mg/l)</t>
  </si>
  <si>
    <t>koncentrácia v akváriu č.2 sa zvýši o
(mg/l)</t>
  </si>
  <si>
    <t>koncentrácia v akváriu  č.3 sa zvýši o
(mg/l)</t>
  </si>
  <si>
    <t>Objem akvária č. 1</t>
  </si>
  <si>
    <t>Objem akvária č. 2</t>
  </si>
  <si>
    <t>Objem akvária č. 3</t>
  </si>
  <si>
    <t>History revision:</t>
  </si>
  <si>
    <t>V0-d</t>
  </si>
  <si>
    <t>CH4N2O (urea)</t>
  </si>
  <si>
    <t>Ca(NO3)2*4H2O</t>
  </si>
  <si>
    <t>Mg(NO3)2*6H2O</t>
  </si>
  <si>
    <t>http://www.webqc.org/mmcalc.php</t>
  </si>
  <si>
    <t>vypocet/overenie molovej hmotnosti</t>
  </si>
  <si>
    <t>molova hmotnost
(g/mol)</t>
  </si>
  <si>
    <t>opravená chyba v prepočte množstva vody po uvážení pridaní hydrátov</t>
  </si>
  <si>
    <t>#6</t>
  </si>
  <si>
    <t>pomer v akváriu č.1</t>
  </si>
  <si>
    <t>pomer v akváriu č.2</t>
  </si>
  <si>
    <t>pomer v akváriu č.3</t>
  </si>
  <si>
    <t>N:P</t>
  </si>
  <si>
    <t>Ca:Mg</t>
  </si>
  <si>
    <t>Hnojenie pre akvárium č.2</t>
  </si>
  <si>
    <t>Hnojenie pre akvárium č.3</t>
  </si>
  <si>
    <t>deň po výmene vody:</t>
  </si>
  <si>
    <t>Hnojivová kalklukačka</t>
  </si>
  <si>
    <t>Súčasná verzia:</t>
  </si>
  <si>
    <t>by Chnuro @2012</t>
  </si>
  <si>
    <t>Pozor:</t>
  </si>
  <si>
    <t>http://calc.petalphile.com/mobile</t>
  </si>
  <si>
    <t>V0-e</t>
  </si>
  <si>
    <t>Kalkulačka</t>
  </si>
  <si>
    <t>Návod, ako používam kalkulačku:</t>
  </si>
  <si>
    <r>
      <t xml:space="preserve">3. Potom doladím množstvo K (draslík) pridaním K2SO4 tak, aby som dosiahol približne </t>
    </r>
    <r>
      <rPr>
        <b/>
        <sz val="11"/>
        <color theme="1"/>
        <rFont val="Calibri"/>
        <family val="2"/>
        <charset val="238"/>
        <scheme val="minor"/>
      </rPr>
      <t>K=NO3</t>
    </r>
  </si>
  <si>
    <r>
      <t xml:space="preserve">2. ako druhý prvok v poradí nastavujem PO4 podla pozadovaneho pomeru k NO3 (bezpecnejsie je </t>
    </r>
    <r>
      <rPr>
        <b/>
        <sz val="11"/>
        <color theme="1"/>
        <rFont val="Calibri"/>
        <family val="2"/>
        <charset val="238"/>
        <scheme val="minor"/>
      </rPr>
      <t>N:P &gt; 4</t>
    </r>
    <r>
      <rPr>
        <sz val="11"/>
        <color theme="1"/>
        <rFont val="Calibri"/>
        <family val="2"/>
        <charset val="238"/>
        <scheme val="minor"/>
      </rPr>
      <t>, pomer sledujem na záložke "hnojenie")</t>
    </r>
  </si>
  <si>
    <t>V1-a</t>
  </si>
  <si>
    <t>FeSO4*7H2O</t>
  </si>
  <si>
    <t>CaSO4*2H2O</t>
  </si>
  <si>
    <t>CaSO4</t>
  </si>
  <si>
    <t>pridané chmikálie CaSO4 a CaSO4*2H2O</t>
  </si>
  <si>
    <t>dopočítaná rozpustnosť hydrátov</t>
  </si>
  <si>
    <t>Rozšírený výpočet až na 3 akvária s automatickým vyfarbením hlavičiek podľa použitia príšlušného akvária</t>
  </si>
  <si>
    <t>pridaný roztok #6</t>
  </si>
  <si>
    <t>upraveny výpis v pripade nevyplnenia niektorych vstupných hodnôt</t>
  </si>
  <si>
    <t>pridané chemikálie: Ca(NO3)2*4(H2O), Mg(NO3)2*6(H2O), CH4N2O (urea)</t>
  </si>
  <si>
    <t>opravená chyba vo výpočte súčtu rozpustností</t>
  </si>
  <si>
    <t>molova hmotnost prvku (g/mol)</t>
  </si>
  <si>
    <t>Maximálne možné nasýtenie chelátu vyplývajúce zo sumárneho vzorca</t>
  </si>
  <si>
    <t>prvá uvoľnená verzia</t>
  </si>
  <si>
    <t>zlúčeniny</t>
  </si>
  <si>
    <t>atóm</t>
  </si>
  <si>
    <t>na správne fungovanie odporúčam používať MS office 2007 a vyšší.</t>
  </si>
  <si>
    <t>na záložke "Legenda" je krátky návod, ako kalkulačku používať</t>
  </si>
  <si>
    <t>- každá karta #1 až #6 symbolizuje jeden zásobný roztok s chemikáliou, kde sa nastavuje jeho namiešanie a jedna dávka do každej nádrže</t>
  </si>
  <si>
    <t>- Na karte "hnojenie" sa vypočítavajú celkové denné a týždenné dávky pre každé akvárium.</t>
  </si>
  <si>
    <t>pridaný krátky návod k použitiu na karte "Legenda"</t>
  </si>
  <si>
    <t>- Po nastavení objemu nádrže na karte "hnojenie" sa farebne jasne vyznačia hlavičky v tabuľkách, ktoré majú pomôcť v orientácii a hľadaní výsledkov</t>
  </si>
  <si>
    <t>- odporúča sa nariediť každú chemikáliu do samostatnej nádobky, aby bolo možné neskôr zmeniť pomery pridávaných prvkov</t>
  </si>
  <si>
    <t>- mnou navrhovaný postup nastavenia hnojenia je iba jeden z možných spôsobov. Navrhované pomery a postupy sú odsledované empiricky mnou a inými akvaristami z akva.sk a nemusia fungovať v každom akváriu. Je možné sa tiež držať rôznych vypracovaných metód na prevádzku rastlinných akvárií</t>
  </si>
  <si>
    <r>
      <t xml:space="preserve">uprevené podmienené formátovanie v tabuľkách </t>
    </r>
    <r>
      <rPr>
        <i/>
        <sz val="11"/>
        <color theme="1"/>
        <rFont val="Calibri"/>
        <family val="2"/>
        <charset val="238"/>
        <scheme val="minor"/>
      </rPr>
      <t>hnojenie pre akvárium č.?</t>
    </r>
  </si>
  <si>
    <t>Poznámky používateľa:</t>
  </si>
  <si>
    <t>vlastný text</t>
  </si>
  <si>
    <r>
      <t xml:space="preserve">- pre úpravu sú odomknuté iba zeleno vyznačené bunky - vstupné hodnoty. Ďalej tabuľky </t>
    </r>
    <r>
      <rPr>
        <i/>
        <sz val="11"/>
        <color theme="1"/>
        <rFont val="Calibri"/>
        <family val="2"/>
        <charset val="238"/>
        <scheme val="minor"/>
      </rPr>
      <t>Hnojenie pre akvárium č.?</t>
    </r>
    <r>
      <rPr>
        <sz val="11"/>
        <color theme="1"/>
        <rFont val="Calibri"/>
        <family val="2"/>
        <charset val="238"/>
        <scheme val="minor"/>
      </rPr>
      <t xml:space="preserve"> na karte "Hnojenie" a všetky bledo sivé políčka pre akékoľvek vlastné poznámky.</t>
    </r>
  </si>
  <si>
    <t>pridané políčko pre vlastné poznámky na záložke "N" a niektoré bunky na záložke "hnojenie"</t>
  </si>
  <si>
    <t>Obsah N v látke
(-)</t>
  </si>
  <si>
    <t>NH2</t>
  </si>
  <si>
    <t>upravený výpočet dusíku z močoviny, pridaná zlúčenia NH2</t>
  </si>
  <si>
    <t>pridaný výpočet percentuálneho obsahu dusíka podľa zlúčeniny NO3/NH4/NH2</t>
  </si>
  <si>
    <t>nastavené zaokrúhľovanie</t>
  </si>
  <si>
    <t>5. Množstvo mikroprvkov pridávam vždy postupne podľa potreby</t>
  </si>
  <si>
    <t>4. MgSO4 cca 60% z KNO3</t>
  </si>
  <si>
    <t>Easylife
Profito:</t>
  </si>
  <si>
    <t>Ni</t>
  </si>
  <si>
    <t>http://www.aquaticquotient.com/forum/showthread.php/11808-Easylife-Pro-fito</t>
  </si>
  <si>
    <t>obsah prvkov v Easylife Profito</t>
  </si>
  <si>
    <t>ppm</t>
  </si>
  <si>
    <t>Fe (2+)</t>
  </si>
  <si>
    <t>I</t>
  </si>
  <si>
    <t>Li</t>
  </si>
  <si>
    <t>Co</t>
  </si>
  <si>
    <t>Al</t>
  </si>
  <si>
    <t>Sn</t>
  </si>
  <si>
    <t>F</t>
  </si>
  <si>
    <t>V</t>
  </si>
  <si>
    <t>Se</t>
  </si>
  <si>
    <t>EasyLife Profito</t>
  </si>
  <si>
    <t>Easylife
Ferro:</t>
  </si>
  <si>
    <t>Easylife Ferro</t>
  </si>
  <si>
    <t>Easylife
Profito</t>
  </si>
  <si>
    <t>Easylife
Ferro</t>
  </si>
  <si>
    <t>obsah Fe v Easylife Ferro</t>
  </si>
  <si>
    <t>http://www.easylife.nl/en/freshwater-products/plant-nutrition/ferro</t>
  </si>
  <si>
    <t>http://www.easylife.nl/en/freshwater-products/plant-nutrition/potassium</t>
  </si>
  <si>
    <t>obsak K v Easylife Potassium</t>
  </si>
  <si>
    <t>Obsah N, P, K v Easylife Nitro &amp; Fosfo</t>
  </si>
  <si>
    <t>http://www.easylife.nl/en/freshwater-products/plant-nutrition/nitro</t>
  </si>
  <si>
    <t>http://www.aquaticplantcentral.com/forumapc/fertilizing/23666-wet-thumb-forum-opinions-my-hygro.html#post156649</t>
  </si>
  <si>
    <t>Zloženie sera florena</t>
  </si>
  <si>
    <t>http://www.aquascapingworld.com/forum/water-chemistry/5544-question-about-trace-product.html#post57040</t>
  </si>
  <si>
    <t>zlozenie viarerych komercnych hnojiv</t>
  </si>
  <si>
    <t>http://www.akva.sk/ada-brighty-t11471.html</t>
  </si>
  <si>
    <t>zloženie ADA hnojiv</t>
  </si>
  <si>
    <t>Easylife Potassium</t>
  </si>
  <si>
    <t>Easylife Nitro</t>
  </si>
  <si>
    <t>Easylife Fosfo</t>
  </si>
  <si>
    <t>komerčné hnojivá / koncentrácia prvku v hnojive (ppm)</t>
  </si>
  <si>
    <t>hnojenie ADA hnojivami</t>
  </si>
  <si>
    <t>http://www.aquatouch.com/freshwater%20ADA%20aquarium.html</t>
  </si>
  <si>
    <t>http://www.adana.com.sg/productsPage/ada_liquid_system.html</t>
  </si>
  <si>
    <t>ADA G. B. STEP-1</t>
  </si>
  <si>
    <t>ADA G. B. STEP-2</t>
  </si>
  <si>
    <t>ADA G. B. STEP-3</t>
  </si>
  <si>
    <t>ADA Brighty-K</t>
  </si>
  <si>
    <t>ADA G. B. Special LIGHTS</t>
  </si>
  <si>
    <t>ADA G. B. Special SHADE</t>
  </si>
  <si>
    <t>ADA Green Brighty STEP-1</t>
  </si>
  <si>
    <t>ADA Green Brighty STEP-2</t>
  </si>
  <si>
    <t>ADA Green Brighty STEP-3</t>
  </si>
  <si>
    <t>ADA Green Brighty Special LIGHTS</t>
  </si>
  <si>
    <t>ADA Green Brighty Special SHADE</t>
  </si>
  <si>
    <t>K+</t>
  </si>
  <si>
    <t>V2-a</t>
  </si>
  <si>
    <t>H2SO4</t>
  </si>
  <si>
    <t>MgCl2</t>
  </si>
  <si>
    <t>FeCl3</t>
  </si>
  <si>
    <t>C10H16N2O8</t>
  </si>
  <si>
    <t>zloženie seda florena</t>
  </si>
  <si>
    <t>http://fins.actwin.com/aquatic-plants/month.9806/msg00467.html</t>
  </si>
  <si>
    <t>Boric Acid 0.2 mg</t>
  </si>
  <si>
    <t>Iron chloride 89 mg</t>
  </si>
  <si>
    <t>potassium chloride 0.1 mg</t>
  </si>
  <si>
    <t>magnesium chloride 0.2 mg</t>
  </si>
  <si>
    <t>sodium bicarbonate 0.06 mg</t>
  </si>
  <si>
    <t>sulfuric acid 0.16 mg</t>
  </si>
  <si>
    <t>EDTA 0.4 mg</t>
  </si>
  <si>
    <t>purified water 100ml</t>
  </si>
  <si>
    <t>Sera Florena</t>
  </si>
  <si>
    <t>NaHCO3</t>
  </si>
  <si>
    <t>kontrolny sucet</t>
  </si>
  <si>
    <t>http://www.fishfriend.com/fertfriend.html</t>
  </si>
  <si>
    <t>velmi rýchla online kalkulačka</t>
  </si>
  <si>
    <t>http://www.aquaticplantcentral.com/forumapc/seachem/67344-calculating-ppm-seachem-flourish.html</t>
  </si>
  <si>
    <t>Seachem %-&gt;ppm
Výsledok?: (%) * 10 000 = (ppm)</t>
  </si>
  <si>
    <t>Tropica Plant Nutrition plus</t>
  </si>
  <si>
    <t xml:space="preserve">P </t>
  </si>
  <si>
    <t>HEEDTA</t>
  </si>
  <si>
    <t>DTPA</t>
  </si>
  <si>
    <t>E123 - amaranth</t>
  </si>
  <si>
    <t>Tetra Plantamin</t>
  </si>
  <si>
    <t>K2O</t>
  </si>
  <si>
    <t>Fe (Cl)</t>
  </si>
  <si>
    <t>EDTA</t>
  </si>
  <si>
    <t>Tropica Plant Nutrition (=Tropica Master Grow)</t>
  </si>
  <si>
    <r>
      <t xml:space="preserve">TPN </t>
    </r>
    <r>
      <rPr>
        <sz val="7"/>
        <color theme="1"/>
        <rFont val="Calibri"/>
        <family val="2"/>
        <charset val="238"/>
        <scheme val="minor"/>
      </rPr>
      <t>(Tropica Plant Nutrition)</t>
    </r>
  </si>
  <si>
    <r>
      <rPr>
        <sz val="10"/>
        <color theme="1"/>
        <rFont val="Calibri"/>
        <family val="2"/>
        <charset val="238"/>
        <scheme val="minor"/>
      </rPr>
      <t>TPN+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6.5"/>
        <color theme="1"/>
        <rFont val="Calibri"/>
        <family val="2"/>
        <charset val="238"/>
        <scheme val="minor"/>
      </rPr>
      <t>(Tropica Plant Nutrition+)</t>
    </r>
  </si>
  <si>
    <t>P2O5</t>
  </si>
  <si>
    <r>
      <t xml:space="preserve">- Pre použitie komerčných hnojív je potrebné zadať </t>
    </r>
    <r>
      <rPr>
        <b/>
        <sz val="11"/>
        <color theme="1"/>
        <rFont val="Calibri"/>
        <family val="2"/>
        <charset val="238"/>
        <scheme val="minor"/>
      </rPr>
      <t>ľubovoľné číslo v tabuľke príprava roztoku a ľubovoľné číslo objemu vody na výrobu roztoku</t>
    </r>
    <r>
      <rPr>
        <sz val="11"/>
        <color theme="1"/>
        <rFont val="Calibri"/>
        <family val="2"/>
        <charset val="238"/>
        <scheme val="minor"/>
      </rPr>
      <t xml:space="preserve"> väčšie ako nula.</t>
    </r>
  </si>
  <si>
    <t>- pri použití komerčného hnojiva použiť samostatný hárok #1 až #6</t>
  </si>
  <si>
    <t>Použitie komerčných hnojív:</t>
  </si>
  <si>
    <t>- u každého z hnojív je v komentári zoznam prvkov a zlúčenín, ktoré výpočet ovplyvňuje. Nie všetky prvky v komerčnom hnojive je možné zistiť, resp. nájsť analýzu konkrétneho hnojiva.</t>
  </si>
  <si>
    <r>
      <t xml:space="preserve">pridané komerčné hnojivá </t>
    </r>
    <r>
      <rPr>
        <b/>
        <sz val="11"/>
        <color theme="1"/>
        <rFont val="Calibri"/>
        <family val="2"/>
        <charset val="238"/>
        <scheme val="minor"/>
      </rPr>
      <t>Easylife</t>
    </r>
    <r>
      <rPr>
        <sz val="11"/>
        <color theme="1"/>
        <rFont val="Calibri"/>
        <family val="2"/>
        <charset val="238"/>
        <scheme val="minor"/>
      </rPr>
      <t xml:space="preserve"> (Profito, Ferro, Potassium, Nitro, Fosfo), </t>
    </r>
    <r>
      <rPr>
        <b/>
        <sz val="11"/>
        <color theme="1"/>
        <rFont val="Calibri"/>
        <family val="2"/>
        <charset val="238"/>
        <scheme val="minor"/>
      </rPr>
      <t>ADA</t>
    </r>
    <r>
      <rPr>
        <sz val="11"/>
        <color theme="1"/>
        <rFont val="Calibri"/>
        <family val="2"/>
        <charset val="238"/>
        <scheme val="minor"/>
      </rPr>
      <t xml:space="preserve"> (Green Brighty Step 1, Step 2, Step 3, Brighty K, Special LIGHTS, Special SHADE), </t>
    </r>
    <r>
      <rPr>
        <b/>
        <sz val="11"/>
        <color theme="1"/>
        <rFont val="Calibri"/>
        <family val="2"/>
        <charset val="238"/>
        <scheme val="minor"/>
      </rPr>
      <t>Sera Florena, Tetra Plantamin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Tropica Plant Nutrition, Tropica Plant Nutrition plus</t>
    </r>
  </si>
  <si>
    <t>V2-b</t>
  </si>
  <si>
    <t>opravená chyba vo výpočte týždenných súčtov pre daný prvok</t>
  </si>
  <si>
    <t>opravená chyba vo výpočte koncentrácie roztoku. Chyba sa prejavovala iba v zobrazovaní koncentrácie roztoku a nemala vplyv na ďalšie výpočty</t>
  </si>
  <si>
    <t>upravený výpočet pomerov prvkov z celotýždňovej dávky, nie z jednej nastavenej</t>
  </si>
  <si>
    <t>zrušené zabezpečenie buniek so vstupnými hodnotami na záložkách #1 až #6</t>
  </si>
  <si>
    <t>V2-c</t>
  </si>
  <si>
    <t>Easy Ferro počítalo s Mg namiesto Fe, chyba odstránená</t>
  </si>
  <si>
    <t>Obsah N z NO3 (%)</t>
  </si>
  <si>
    <t>Obsah N z NH4 (%)</t>
  </si>
  <si>
    <t>obsah N z NH2 (%)</t>
  </si>
  <si>
    <t>K:NO3</t>
  </si>
  <si>
    <t>V2-d</t>
  </si>
  <si>
    <t>pridamý výpočet pomeru K:N a K:NO3 pre lepší odhad dávkovania draslíka</t>
  </si>
  <si>
    <t>V2-e</t>
  </si>
  <si>
    <t>pridaná chemikália "Ferrous Gluconate"</t>
  </si>
  <si>
    <r>
      <rPr>
        <sz val="11"/>
        <rFont val="Calibri"/>
        <family val="2"/>
        <charset val="238"/>
        <scheme val="minor"/>
      </rPr>
      <t>Ferrous Gluconate</t>
    </r>
    <r>
      <rPr>
        <sz val="11"/>
        <color theme="0" tint="-0.499984740745262"/>
        <rFont val="Calibri"/>
        <family val="2"/>
        <charset val="238"/>
        <scheme val="minor"/>
      </rPr>
      <t xml:space="preserve">
C12H24FeO14</t>
    </r>
  </si>
  <si>
    <t>Fe DTPA</t>
  </si>
  <si>
    <t>Fe EDTA</t>
  </si>
  <si>
    <t>Fe Gluc.</t>
  </si>
  <si>
    <t>Fe Gluc. 12,16%</t>
  </si>
  <si>
    <t>8.</t>
  </si>
  <si>
    <t>pridaný riadok pre dávku c. 8</t>
  </si>
  <si>
    <t>Mg:KNO3</t>
  </si>
  <si>
    <t>K:N</t>
  </si>
  <si>
    <t>Mg:N</t>
  </si>
  <si>
    <t>http://aquariumfertilizer.com/index.asp?Option1=inven&amp;EditU=2&amp;Regit=1&amp;ReturnOption1=cats&amp;ReturnEdit=2&amp;Returnitemname=&amp;ReturnShowItemStart=</t>
  </si>
  <si>
    <t>Ferrous Gluconate - aj davkovanie</t>
  </si>
  <si>
    <t>doplnený výpočet pomeru Mg:KNO3, Mg:N</t>
  </si>
  <si>
    <t>na záložke "History rev." je popis, čo je nové pre každú verziu</t>
  </si>
  <si>
    <t>V2-f</t>
  </si>
  <si>
    <t>pridané polia pre vlastné poznámky ku každému roztoku</t>
  </si>
  <si>
    <t>pridaný roztok na hnojenie č. 7</t>
  </si>
  <si>
    <t>V2-g</t>
  </si>
  <si>
    <t>#7</t>
  </si>
  <si>
    <t>pridaný pomocný výpočet pre výdrž roztoku podľa nastaveného hnojenia</t>
  </si>
  <si>
    <t>roztok</t>
  </si>
  <si>
    <t>predpokladaná spotreba roztoku vyjadrená v počtoch cyklov výmeny vody</t>
  </si>
  <si>
    <t>počet cyklov</t>
  </si>
  <si>
    <t>Akvárium č.1</t>
  </si>
  <si>
    <t>pravidelná výmena vody (l)</t>
  </si>
  <si>
    <t>pocet cyklov vymeny vody</t>
  </si>
  <si>
    <t>pravidelná výmena vody (%)</t>
  </si>
  <si>
    <t>Objem akvária</t>
  </si>
  <si>
    <t>Akvárium č.2</t>
  </si>
  <si>
    <t>Akvárium č.3</t>
  </si>
  <si>
    <t>úroveň NO3 na konci cyklu pravidelnej výmeny vody</t>
  </si>
  <si>
    <t>Hnojenim sa pridá v jednom cykle (ppm)</t>
  </si>
  <si>
    <t>spotreba v medzi vymenami vody (ppm)</t>
  </si>
  <si>
    <t>pociatocna hodnota pre vypocet (ppm)</t>
  </si>
  <si>
    <t>vstupna voda (ppm)</t>
  </si>
  <si>
    <t>- nastavené hnojenie je možné skontrolovať, či sa z dlhodobého hľadiska niektorý prvok nestáva nedostatkovým, alebo ním nie je prehnojované, príp. či nedochádza k nejakému nepomeru. Na takýto výpočet je ale potrebné buď zmerať, alebo odhadnúť týždennú spotrebu konkrétnych prvkov v akváriu.</t>
  </si>
  <si>
    <t>priestor pre vlastné poznámky. Odomknuté bunky pre úpravu.</t>
  </si>
  <si>
    <t>1. najskôr si nastavím NO3 na požadovanú hodnotu dennej dávky (toto robím na záložke #1 až #7)</t>
  </si>
  <si>
    <t>upravený oobsah legendy</t>
  </si>
  <si>
    <t>pridaná nová záložka "hnojenie dlhodobo" s odhadom dlhodobo ustálených hodnôt v akváriu (zatiaľ len pre NO3, PO4, Fe).</t>
  </si>
  <si>
    <t>úroveň PO4 na konci cyklu pravidelnej výmeny vody</t>
  </si>
  <si>
    <t>úroveň Fe na konci cyklu pravidelnej výmeny vody</t>
  </si>
  <si>
    <t>V3-a</t>
  </si>
  <si>
    <t>MAKRO</t>
  </si>
  <si>
    <t>Tenso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</si>
</sst>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- &quot;@"/>
    <numFmt numFmtId="165" formatCode="0.0000"/>
    <numFmt numFmtId="166" formatCode="0.000"/>
    <numFmt numFmtId="167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249977111117893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5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5" fillId="5" borderId="2" xfId="0" applyFont="1" applyFill="1" applyBorder="1" applyAlignment="1" applyProtection="1">
      <alignment vertical="center" wrapText="1"/>
      <protection hidden="1"/>
    </xf>
    <xf numFmtId="0" fontId="0" fillId="10" borderId="10" xfId="0" applyFill="1" applyBorder="1" applyAlignment="1" applyProtection="1">
      <alignment vertical="center" wrapText="1"/>
      <protection hidden="1"/>
    </xf>
    <xf numFmtId="0" fontId="0" fillId="10" borderId="2" xfId="0" applyFill="1" applyBorder="1" applyAlignment="1" applyProtection="1">
      <alignment vertical="center" wrapText="1"/>
      <protection hidden="1"/>
    </xf>
    <xf numFmtId="0" fontId="0" fillId="10" borderId="15" xfId="0" applyFill="1" applyBorder="1" applyAlignment="1" applyProtection="1">
      <alignment vertical="center" wrapText="1"/>
      <protection hidden="1"/>
    </xf>
    <xf numFmtId="0" fontId="5" fillId="10" borderId="2" xfId="0" applyFont="1" applyFill="1" applyBorder="1" applyAlignment="1" applyProtection="1">
      <alignment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15" xfId="0" applyFont="1" applyFill="1" applyBorder="1" applyAlignment="1" applyProtection="1">
      <alignment horizontal="center" vertical="center" wrapText="1"/>
      <protection hidden="1"/>
    </xf>
    <xf numFmtId="0" fontId="0" fillId="10" borderId="6" xfId="0" applyFill="1" applyBorder="1" applyAlignment="1" applyProtection="1">
      <alignment vertical="center" wrapText="1"/>
      <protection hidden="1"/>
    </xf>
    <xf numFmtId="11" fontId="0" fillId="10" borderId="6" xfId="0" applyNumberFormat="1" applyFill="1" applyBorder="1" applyAlignment="1" applyProtection="1">
      <alignment vertical="center" wrapText="1"/>
      <protection hidden="1"/>
    </xf>
    <xf numFmtId="2" fontId="0" fillId="10" borderId="6" xfId="0" applyNumberFormat="1" applyFill="1" applyBorder="1" applyAlignment="1" applyProtection="1">
      <alignment vertical="center" wrapText="1"/>
      <protection hidden="1"/>
    </xf>
    <xf numFmtId="0" fontId="0" fillId="10" borderId="4" xfId="0" applyFill="1" applyBorder="1" applyAlignment="1" applyProtection="1">
      <alignment vertical="center" wrapText="1"/>
      <protection hidden="1"/>
    </xf>
    <xf numFmtId="0" fontId="0" fillId="10" borderId="3" xfId="0" applyFont="1" applyFill="1" applyBorder="1" applyAlignment="1" applyProtection="1">
      <alignment vertical="center" wrapText="1"/>
      <protection hidden="1"/>
    </xf>
    <xf numFmtId="0" fontId="0" fillId="10" borderId="3" xfId="0" applyFont="1" applyFill="1" applyBorder="1" applyAlignment="1" applyProtection="1">
      <alignment horizontal="right" vertical="center" wrapText="1"/>
      <protection hidden="1"/>
    </xf>
    <xf numFmtId="0" fontId="0" fillId="10" borderId="3" xfId="0" applyFill="1" applyBorder="1" applyAlignment="1" applyProtection="1">
      <alignment vertical="center" wrapText="1"/>
      <protection hidden="1"/>
    </xf>
    <xf numFmtId="11" fontId="0" fillId="10" borderId="3" xfId="0" applyNumberFormat="1" applyFill="1" applyBorder="1" applyAlignment="1" applyProtection="1">
      <alignment vertical="center" wrapText="1"/>
      <protection hidden="1"/>
    </xf>
    <xf numFmtId="2" fontId="0" fillId="10" borderId="3" xfId="0" applyNumberFormat="1" applyFill="1" applyBorder="1" applyAlignment="1" applyProtection="1">
      <alignment vertical="center" wrapText="1"/>
      <protection hidden="1"/>
    </xf>
    <xf numFmtId="0" fontId="0" fillId="10" borderId="11" xfId="0" applyFill="1" applyBorder="1" applyAlignment="1" applyProtection="1">
      <alignment vertical="center" wrapText="1"/>
      <protection hidden="1"/>
    </xf>
    <xf numFmtId="0" fontId="0" fillId="10" borderId="3" xfId="0" applyFill="1" applyBorder="1" applyAlignment="1" applyProtection="1">
      <alignment horizontal="center" vertical="center" wrapText="1"/>
      <protection hidden="1"/>
    </xf>
    <xf numFmtId="0" fontId="0" fillId="10" borderId="11" xfId="0" applyFill="1" applyBorder="1" applyAlignment="1" applyProtection="1">
      <alignment horizontal="center" vertical="center" wrapText="1"/>
      <protection hidden="1"/>
    </xf>
    <xf numFmtId="0" fontId="2" fillId="10" borderId="3" xfId="0" applyFont="1" applyFill="1" applyBorder="1" applyAlignment="1" applyProtection="1">
      <alignment vertical="center" wrapText="1"/>
      <protection hidden="1"/>
    </xf>
    <xf numFmtId="0" fontId="3" fillId="10" borderId="3" xfId="0" applyFont="1" applyFill="1" applyBorder="1" applyAlignment="1" applyProtection="1">
      <alignment vertical="center" wrapText="1"/>
      <protection hidden="1"/>
    </xf>
    <xf numFmtId="11" fontId="2" fillId="10" borderId="3" xfId="0" applyNumberFormat="1" applyFont="1" applyFill="1" applyBorder="1" applyAlignment="1" applyProtection="1">
      <alignment vertical="center" wrapText="1"/>
      <protection hidden="1"/>
    </xf>
    <xf numFmtId="0" fontId="4" fillId="10" borderId="6" xfId="0" applyFont="1" applyFill="1" applyBorder="1" applyAlignment="1" applyProtection="1">
      <alignment vertical="center" wrapText="1"/>
      <protection hidden="1"/>
    </xf>
    <xf numFmtId="0" fontId="0" fillId="10" borderId="3" xfId="0" applyFill="1" applyBorder="1" applyAlignment="1" applyProtection="1">
      <alignment horizontal="right" vertical="center" wrapText="1"/>
      <protection hidden="1"/>
    </xf>
    <xf numFmtId="0" fontId="4" fillId="10" borderId="3" xfId="0" applyFont="1" applyFill="1" applyBorder="1" applyAlignment="1" applyProtection="1">
      <alignment vertical="center" wrapText="1"/>
      <protection hidden="1"/>
    </xf>
    <xf numFmtId="0" fontId="0" fillId="10" borderId="5" xfId="0" applyFill="1" applyBorder="1" applyAlignment="1" applyProtection="1">
      <alignment vertical="center" wrapText="1"/>
      <protection hidden="1"/>
    </xf>
    <xf numFmtId="0" fontId="0" fillId="10" borderId="16" xfId="0" applyFill="1" applyBorder="1" applyAlignment="1" applyProtection="1">
      <alignment vertical="center" wrapText="1"/>
      <protection hidden="1"/>
    </xf>
    <xf numFmtId="11" fontId="0" fillId="10" borderId="4" xfId="0" applyNumberFormat="1" applyFill="1" applyBorder="1" applyAlignment="1" applyProtection="1">
      <alignment vertical="center" wrapText="1"/>
      <protection hidden="1"/>
    </xf>
    <xf numFmtId="11" fontId="0" fillId="10" borderId="2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right" vertical="center" wrapText="1"/>
      <protection locked="0"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13" fillId="11" borderId="57" xfId="0" applyFont="1" applyFill="1" applyBorder="1" applyAlignment="1" applyProtection="1">
      <alignment horizontal="center" vertical="center" wrapText="1"/>
      <protection locked="0"/>
    </xf>
    <xf numFmtId="0" fontId="13" fillId="11" borderId="58" xfId="0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3" fillId="11" borderId="63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0" fillId="11" borderId="0" xfId="0" applyFill="1" applyBorder="1" applyAlignment="1">
      <alignment horizontal="left" vertical="center" wrapText="1"/>
    </xf>
    <xf numFmtId="0" fontId="1" fillId="10" borderId="0" xfId="0" applyFont="1" applyFill="1" applyBorder="1" applyAlignment="1" applyProtection="1">
      <alignment horizontal="center" vertical="center" wrapText="1"/>
      <protection hidden="1"/>
    </xf>
    <xf numFmtId="0" fontId="0" fillId="10" borderId="0" xfId="0" applyFont="1" applyFill="1" applyBorder="1" applyAlignment="1" applyProtection="1">
      <alignment horizontal="right" vertical="center" wrapText="1"/>
      <protection hidden="1"/>
    </xf>
    <xf numFmtId="0" fontId="0" fillId="10" borderId="0" xfId="0" applyFill="1" applyBorder="1" applyAlignment="1" applyProtection="1">
      <alignment horizontal="right" vertical="center" wrapText="1"/>
      <protection hidden="1"/>
    </xf>
    <xf numFmtId="0" fontId="0" fillId="10" borderId="1" xfId="0" applyFont="1" applyFill="1" applyBorder="1" applyAlignment="1" applyProtection="1">
      <alignment horizontal="right" vertical="center" wrapText="1"/>
      <protection hidden="1"/>
    </xf>
    <xf numFmtId="0" fontId="0" fillId="10" borderId="1" xfId="0" applyFill="1" applyBorder="1" applyAlignment="1" applyProtection="1">
      <alignment horizontal="right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165" fontId="0" fillId="5" borderId="19" xfId="0" applyNumberFormat="1" applyFill="1" applyBorder="1" applyAlignment="1" applyProtection="1">
      <alignment horizontal="right" vertical="center" wrapText="1"/>
      <protection hidden="1"/>
    </xf>
    <xf numFmtId="165" fontId="0" fillId="5" borderId="3" xfId="0" applyNumberFormat="1" applyFill="1" applyBorder="1" applyAlignment="1" applyProtection="1">
      <alignment horizontal="right" vertical="center" wrapText="1"/>
      <protection hidden="1"/>
    </xf>
    <xf numFmtId="165" fontId="0" fillId="0" borderId="3" xfId="0" applyNumberFormat="1" applyBorder="1" applyAlignment="1" applyProtection="1">
      <alignment horizontal="center" vertical="center" wrapText="1"/>
      <protection hidden="1"/>
    </xf>
    <xf numFmtId="165" fontId="0" fillId="0" borderId="8" xfId="0" applyNumberFormat="1" applyBorder="1" applyAlignment="1" applyProtection="1">
      <alignment horizontal="center" vertical="center" wrapText="1"/>
      <protection hidden="1"/>
    </xf>
    <xf numFmtId="2" fontId="0" fillId="5" borderId="20" xfId="0" applyNumberFormat="1" applyFill="1" applyBorder="1" applyAlignment="1" applyProtection="1">
      <alignment horizontal="right" vertical="center" wrapText="1"/>
      <protection hidden="1"/>
    </xf>
    <xf numFmtId="2" fontId="0" fillId="0" borderId="11" xfId="0" applyNumberFormat="1" applyBorder="1" applyAlignment="1" applyProtection="1">
      <alignment vertical="center" wrapText="1"/>
      <protection hidden="1"/>
    </xf>
    <xf numFmtId="2" fontId="0" fillId="5" borderId="22" xfId="0" applyNumberFormat="1" applyFill="1" applyBorder="1" applyAlignment="1" applyProtection="1">
      <alignment horizontal="right" vertical="center" wrapText="1"/>
      <protection hidden="1"/>
    </xf>
    <xf numFmtId="2" fontId="8" fillId="5" borderId="3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3" xfId="0" applyNumberFormat="1" applyFont="1" applyBorder="1" applyAlignment="1" applyProtection="1">
      <alignment horizontal="right" vertical="center" wrapText="1"/>
      <protection hidden="1"/>
    </xf>
    <xf numFmtId="2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2" fontId="8" fillId="5" borderId="6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6" xfId="0" applyNumberFormat="1" applyFont="1" applyBorder="1" applyAlignment="1" applyProtection="1">
      <alignment horizontal="right" vertical="center" wrapText="1"/>
      <protection hidden="1"/>
    </xf>
    <xf numFmtId="2" fontId="8" fillId="0" borderId="6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7" xfId="0" applyNumberFormat="1" applyFont="1" applyBorder="1" applyAlignment="1" applyProtection="1">
      <alignment horizontal="right" vertical="center" wrapText="1"/>
      <protection hidden="1"/>
    </xf>
    <xf numFmtId="2" fontId="8" fillId="5" borderId="17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2" fontId="6" fillId="6" borderId="8" xfId="0" applyNumberFormat="1" applyFont="1" applyFill="1" applyBorder="1" applyAlignment="1" applyProtection="1">
      <alignment vertical="center" wrapText="1"/>
      <protection hidden="1"/>
    </xf>
    <xf numFmtId="2" fontId="6" fillId="6" borderId="9" xfId="0" applyNumberFormat="1" applyFont="1" applyFill="1" applyBorder="1" applyAlignment="1" applyProtection="1">
      <alignment vertical="center" wrapText="1"/>
      <protection hidden="1"/>
    </xf>
    <xf numFmtId="2" fontId="0" fillId="0" borderId="1" xfId="0" applyNumberFormat="1" applyBorder="1" applyAlignment="1" applyProtection="1">
      <alignment vertical="center" wrapText="1"/>
      <protection hidden="1"/>
    </xf>
    <xf numFmtId="2" fontId="0" fillId="0" borderId="16" xfId="0" applyNumberFormat="1" applyBorder="1" applyAlignment="1" applyProtection="1">
      <alignment vertical="center" wrapText="1"/>
      <protection hidden="1"/>
    </xf>
    <xf numFmtId="2" fontId="0" fillId="0" borderId="3" xfId="0" applyNumberFormat="1" applyBorder="1" applyAlignment="1" applyProtection="1">
      <alignment vertical="center" wrapText="1"/>
      <protection hidden="1"/>
    </xf>
    <xf numFmtId="2" fontId="0" fillId="5" borderId="3" xfId="0" applyNumberFormat="1" applyFill="1" applyBorder="1" applyAlignment="1" applyProtection="1">
      <alignment vertical="center" wrapText="1"/>
      <protection hidden="1"/>
    </xf>
    <xf numFmtId="0" fontId="0" fillId="10" borderId="1" xfId="0" applyFill="1" applyBorder="1" applyAlignment="1" applyProtection="1">
      <alignment vertical="center" wrapText="1"/>
      <protection hidden="1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14" fillId="0" borderId="3" xfId="1" applyNumberFormat="1" applyBorder="1" applyAlignment="1" applyProtection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1" fontId="0" fillId="10" borderId="15" xfId="0" applyNumberFormat="1" applyFill="1" applyBorder="1" applyAlignment="1" applyProtection="1">
      <alignment vertical="center" wrapText="1"/>
      <protection hidden="1"/>
    </xf>
    <xf numFmtId="0" fontId="5" fillId="10" borderId="4" xfId="0" applyFont="1" applyFill="1" applyBorder="1" applyAlignment="1" applyProtection="1">
      <alignment vertical="center" wrapText="1"/>
      <protection hidden="1"/>
    </xf>
    <xf numFmtId="0" fontId="0" fillId="10" borderId="17" xfId="0" applyFill="1" applyBorder="1" applyAlignment="1" applyProtection="1">
      <alignment vertical="center" wrapText="1"/>
      <protection hidden="1"/>
    </xf>
    <xf numFmtId="0" fontId="5" fillId="10" borderId="5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horizontal="center" vertical="center" textRotation="90" wrapText="1"/>
      <protection hidden="1"/>
    </xf>
    <xf numFmtId="2" fontId="0" fillId="0" borderId="68" xfId="0" applyNumberFormat="1" applyFont="1" applyBorder="1" applyAlignment="1" applyProtection="1">
      <alignment vertical="center" wrapText="1"/>
      <protection hidden="1"/>
    </xf>
    <xf numFmtId="2" fontId="8" fillId="5" borderId="45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45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45" xfId="0" applyNumberFormat="1" applyFont="1" applyBorder="1" applyAlignment="1" applyProtection="1">
      <alignment horizontal="right" vertical="center" wrapText="1"/>
      <protection hidden="1"/>
    </xf>
    <xf numFmtId="2" fontId="0" fillId="0" borderId="49" xfId="0" applyNumberFormat="1" applyFont="1" applyBorder="1" applyAlignment="1" applyProtection="1">
      <alignment vertical="center" wrapText="1"/>
      <protection hidden="1"/>
    </xf>
    <xf numFmtId="2" fontId="0" fillId="0" borderId="69" xfId="0" applyNumberFormat="1" applyFont="1" applyBorder="1" applyAlignment="1" applyProtection="1">
      <alignment vertical="center" wrapText="1"/>
      <protection hidden="1"/>
    </xf>
    <xf numFmtId="2" fontId="0" fillId="0" borderId="70" xfId="0" applyNumberFormat="1" applyFont="1" applyBorder="1" applyAlignment="1" applyProtection="1">
      <alignment vertical="center" wrapText="1"/>
      <protection hidden="1"/>
    </xf>
    <xf numFmtId="2" fontId="0" fillId="0" borderId="55" xfId="0" applyNumberFormat="1" applyFont="1" applyBorder="1" applyAlignment="1" applyProtection="1">
      <alignment vertical="center" wrapText="1"/>
      <protection hidden="1"/>
    </xf>
    <xf numFmtId="2" fontId="0" fillId="0" borderId="51" xfId="0" applyNumberFormat="1" applyBorder="1" applyAlignment="1" applyProtection="1">
      <alignment vertical="center" wrapText="1"/>
      <protection hidden="1"/>
    </xf>
    <xf numFmtId="2" fontId="8" fillId="0" borderId="52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2" fontId="8" fillId="0" borderId="1" xfId="0" applyNumberFormat="1" applyFont="1" applyBorder="1" applyAlignment="1" applyProtection="1">
      <alignment horizontal="right" vertical="center" wrapText="1"/>
      <protection hidden="1"/>
    </xf>
    <xf numFmtId="2" fontId="0" fillId="0" borderId="77" xfId="0" applyNumberFormat="1" applyBorder="1" applyAlignment="1" applyProtection="1">
      <alignment vertical="center" wrapText="1"/>
      <protection hidden="1"/>
    </xf>
    <xf numFmtId="2" fontId="0" fillId="0" borderId="78" xfId="0" applyNumberFormat="1" applyFont="1" applyBorder="1" applyAlignment="1" applyProtection="1">
      <alignment vertical="center" wrapText="1"/>
      <protection hidden="1"/>
    </xf>
    <xf numFmtId="2" fontId="0" fillId="0" borderId="74" xfId="0" applyNumberFormat="1" applyBorder="1" applyAlignment="1" applyProtection="1">
      <alignment vertical="center" wrapText="1"/>
      <protection hidden="1"/>
    </xf>
    <xf numFmtId="2" fontId="8" fillId="0" borderId="65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80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76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46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50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67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72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81" xfId="0" applyNumberFormat="1" applyFont="1" applyFill="1" applyBorder="1" applyAlignment="1" applyProtection="1">
      <alignment horizontal="right" vertical="center" wrapText="1"/>
      <protection hidden="1"/>
    </xf>
    <xf numFmtId="166" fontId="6" fillId="6" borderId="54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54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5" xfId="0" applyFill="1" applyBorder="1" applyAlignment="1" applyProtection="1">
      <alignment vertical="center" wrapText="1"/>
      <protection hidden="1"/>
    </xf>
    <xf numFmtId="165" fontId="0" fillId="0" borderId="83" xfId="0" applyNumberFormat="1" applyBorder="1" applyAlignment="1" applyProtection="1">
      <alignment horizontal="center" vertical="center" wrapText="1"/>
      <protection hidden="1"/>
    </xf>
    <xf numFmtId="0" fontId="0" fillId="0" borderId="85" xfId="0" applyBorder="1" applyAlignment="1" applyProtection="1">
      <alignment vertical="center" wrapText="1"/>
      <protection hidden="1"/>
    </xf>
    <xf numFmtId="2" fontId="8" fillId="0" borderId="87" xfId="0" applyNumberFormat="1" applyFont="1" applyBorder="1" applyAlignment="1" applyProtection="1">
      <alignment horizontal="right" vertical="center" wrapText="1"/>
      <protection hidden="1"/>
    </xf>
    <xf numFmtId="2" fontId="8" fillId="0" borderId="81" xfId="0" applyNumberFormat="1" applyFont="1" applyBorder="1" applyAlignment="1" applyProtection="1">
      <alignment horizontal="right" vertical="center" wrapText="1"/>
      <protection hidden="1"/>
    </xf>
    <xf numFmtId="0" fontId="14" fillId="0" borderId="1" xfId="1" applyNumberFormat="1" applyBorder="1" applyAlignment="1" applyProtection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7" xfId="1" applyNumberFormat="1" applyBorder="1" applyAlignment="1" applyProtection="1">
      <alignment vertical="center" wrapText="1"/>
    </xf>
    <xf numFmtId="0" fontId="0" fillId="10" borderId="4" xfId="0" applyFill="1" applyBorder="1" applyAlignment="1" applyProtection="1">
      <alignment vertical="center"/>
      <protection hidden="1"/>
    </xf>
    <xf numFmtId="0" fontId="0" fillId="10" borderId="2" xfId="0" applyFill="1" applyBorder="1" applyAlignment="1" applyProtection="1">
      <alignment vertical="center"/>
      <protection hidden="1"/>
    </xf>
    <xf numFmtId="0" fontId="0" fillId="0" borderId="1" xfId="0" applyFill="1" applyBorder="1" applyAlignment="1">
      <alignment vertical="center"/>
    </xf>
    <xf numFmtId="2" fontId="0" fillId="0" borderId="88" xfId="0" applyNumberFormat="1" applyBorder="1" applyAlignment="1" applyProtection="1">
      <alignment vertical="center" wrapText="1"/>
      <protection hidden="1"/>
    </xf>
    <xf numFmtId="1" fontId="8" fillId="0" borderId="76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74" xfId="0" applyNumberFormat="1" applyFont="1" applyFill="1" applyBorder="1" applyAlignment="1" applyProtection="1">
      <alignment horizontal="right" vertical="center" wrapText="1"/>
      <protection hidden="1"/>
    </xf>
    <xf numFmtId="1" fontId="8" fillId="5" borderId="74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67" xfId="0" applyNumberFormat="1" applyFont="1" applyFill="1" applyBorder="1" applyAlignment="1" applyProtection="1">
      <alignment horizontal="right" vertical="center" wrapText="1"/>
      <protection hidden="1"/>
    </xf>
    <xf numFmtId="1" fontId="8" fillId="12" borderId="87" xfId="0" applyNumberFormat="1" applyFont="1" applyFill="1" applyBorder="1" applyAlignment="1" applyProtection="1">
      <alignment horizontal="right" vertical="center" wrapText="1"/>
      <protection hidden="1"/>
    </xf>
    <xf numFmtId="1" fontId="8" fillId="12" borderId="74" xfId="0" applyNumberFormat="1" applyFont="1" applyFill="1" applyBorder="1" applyAlignment="1" applyProtection="1">
      <alignment horizontal="right" vertical="center" wrapText="1"/>
      <protection hidden="1"/>
    </xf>
    <xf numFmtId="1" fontId="8" fillId="12" borderId="1" xfId="0" applyNumberFormat="1" applyFont="1" applyFill="1" applyBorder="1" applyAlignment="1" applyProtection="1">
      <alignment horizontal="right" vertical="center" wrapText="1"/>
      <protection hidden="1"/>
    </xf>
    <xf numFmtId="165" fontId="0" fillId="0" borderId="90" xfId="0" applyNumberFormat="1" applyBorder="1" applyAlignment="1" applyProtection="1">
      <alignment horizontal="center" vertical="center" wrapText="1"/>
      <protection hidden="1"/>
    </xf>
    <xf numFmtId="165" fontId="0" fillId="0" borderId="52" xfId="0" applyNumberFormat="1" applyBorder="1" applyAlignment="1" applyProtection="1">
      <alignment horizontal="center" vertical="center" wrapText="1"/>
      <protection hidden="1"/>
    </xf>
    <xf numFmtId="0" fontId="1" fillId="10" borderId="11" xfId="0" applyFont="1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Alignment="1" applyProtection="1">
      <alignment vertical="center" wrapText="1"/>
      <protection hidden="1"/>
    </xf>
    <xf numFmtId="2" fontId="8" fillId="0" borderId="81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87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0" fillId="10" borderId="17" xfId="0" applyFill="1" applyBorder="1" applyAlignment="1" applyProtection="1">
      <alignment horizontal="right" vertical="center" wrapText="1"/>
      <protection hidden="1"/>
    </xf>
    <xf numFmtId="0" fontId="0" fillId="9" borderId="1" xfId="0" applyFill="1" applyBorder="1" applyAlignment="1" applyProtection="1">
      <alignment vertical="center" wrapText="1"/>
      <protection hidden="1"/>
    </xf>
    <xf numFmtId="1" fontId="8" fillId="12" borderId="9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2" xfId="0" applyFont="1" applyBorder="1" applyAlignment="1" applyProtection="1">
      <alignment horizontal="center" vertical="center" textRotation="90" wrapText="1"/>
      <protection hidden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14" fillId="0" borderId="6" xfId="1" applyNumberFormat="1" applyBorder="1" applyAlignment="1" applyProtection="1">
      <alignment vertical="center" wrapText="1"/>
    </xf>
    <xf numFmtId="0" fontId="5" fillId="10" borderId="15" xfId="0" applyFont="1" applyFill="1" applyBorder="1" applyAlignment="1" applyProtection="1">
      <alignment vertical="center" wrapText="1"/>
      <protection hidden="1"/>
    </xf>
    <xf numFmtId="0" fontId="0" fillId="0" borderId="81" xfId="0" applyFill="1" applyBorder="1" applyAlignment="1">
      <alignment vertical="center"/>
    </xf>
    <xf numFmtId="0" fontId="0" fillId="0" borderId="81" xfId="0" applyFill="1" applyBorder="1" applyAlignment="1" applyProtection="1">
      <alignment vertical="center" wrapText="1"/>
      <protection hidden="1"/>
    </xf>
    <xf numFmtId="0" fontId="0" fillId="10" borderId="81" xfId="0" applyFill="1" applyBorder="1" applyAlignment="1" applyProtection="1">
      <alignment vertical="center" wrapText="1"/>
      <protection hidden="1"/>
    </xf>
    <xf numFmtId="2" fontId="0" fillId="0" borderId="22" xfId="0" applyNumberFormat="1" applyBorder="1" applyAlignment="1" applyProtection="1">
      <alignment horizontal="center" vertical="center" wrapText="1"/>
      <protection hidden="1"/>
    </xf>
    <xf numFmtId="2" fontId="0" fillId="0" borderId="92" xfId="0" applyNumberFormat="1" applyBorder="1" applyAlignment="1" applyProtection="1">
      <alignment horizontal="center" vertical="center" wrapText="1"/>
      <protection hidden="1"/>
    </xf>
    <xf numFmtId="2" fontId="0" fillId="0" borderId="91" xfId="0" applyNumberFormat="1" applyBorder="1" applyAlignment="1" applyProtection="1">
      <alignment horizontal="center" vertical="center" wrapText="1"/>
      <protection hidden="1"/>
    </xf>
    <xf numFmtId="2" fontId="0" fillId="0" borderId="84" xfId="0" applyNumberFormat="1" applyBorder="1" applyAlignment="1" applyProtection="1">
      <alignment horizontal="center" vertical="center" wrapText="1"/>
      <protection hidden="1"/>
    </xf>
    <xf numFmtId="167" fontId="8" fillId="12" borderId="74" xfId="0" applyNumberFormat="1" applyFont="1" applyFill="1" applyBorder="1" applyAlignment="1" applyProtection="1">
      <alignment horizontal="right" vertical="center" wrapText="1"/>
      <protection hidden="1"/>
    </xf>
    <xf numFmtId="167" fontId="8" fillId="0" borderId="74" xfId="0" applyNumberFormat="1" applyFont="1" applyFill="1" applyBorder="1" applyAlignment="1" applyProtection="1">
      <alignment horizontal="right" vertical="center" wrapText="1"/>
      <protection hidden="1"/>
    </xf>
    <xf numFmtId="166" fontId="8" fillId="12" borderId="99" xfId="0" applyNumberFormat="1" applyFont="1" applyFill="1" applyBorder="1" applyAlignment="1" applyProtection="1">
      <alignment horizontal="right" vertical="center" wrapText="1"/>
      <protection hidden="1"/>
    </xf>
    <xf numFmtId="166" fontId="8" fillId="12" borderId="74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74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67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87" xfId="0" applyNumberFormat="1" applyFont="1" applyFill="1" applyBorder="1" applyAlignment="1" applyProtection="1">
      <alignment horizontal="right" vertical="center" wrapText="1"/>
      <protection hidden="1"/>
    </xf>
    <xf numFmtId="166" fontId="0" fillId="0" borderId="74" xfId="0" applyNumberFormat="1" applyBorder="1" applyAlignment="1" applyProtection="1">
      <alignment vertical="center" wrapText="1"/>
      <protection hidden="1"/>
    </xf>
    <xf numFmtId="166" fontId="8" fillId="0" borderId="6" xfId="0" applyNumberFormat="1" applyFont="1" applyBorder="1" applyAlignment="1" applyProtection="1">
      <alignment horizontal="right" vertical="center" wrapText="1"/>
      <protection hidden="1"/>
    </xf>
    <xf numFmtId="0" fontId="5" fillId="0" borderId="62" xfId="0" applyFont="1" applyBorder="1" applyAlignment="1" applyProtection="1">
      <alignment horizontal="center" vertical="center" textRotation="90" wrapText="1"/>
      <protection hidden="1"/>
    </xf>
    <xf numFmtId="0" fontId="5" fillId="0" borderId="48" xfId="0" applyFont="1" applyBorder="1" applyAlignment="1" applyProtection="1">
      <alignment horizontal="center" vertical="center" textRotation="90" wrapText="1"/>
      <protection hidden="1"/>
    </xf>
    <xf numFmtId="1" fontId="8" fillId="5" borderId="107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08" xfId="0" applyNumberFormat="1" applyFont="1" applyBorder="1" applyAlignment="1" applyProtection="1">
      <alignment horizontal="right" vertical="center" wrapText="1"/>
      <protection hidden="1"/>
    </xf>
    <xf numFmtId="1" fontId="8" fillId="5" borderId="108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08" xfId="0" applyNumberFormat="1" applyFont="1" applyFill="1" applyBorder="1" applyAlignment="1" applyProtection="1">
      <alignment horizontal="right" vertical="center" wrapText="1"/>
      <protection hidden="1"/>
    </xf>
    <xf numFmtId="1" fontId="8" fillId="5" borderId="109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10" xfId="0" applyNumberFormat="1" applyFont="1" applyBorder="1" applyAlignment="1" applyProtection="1">
      <alignment horizontal="right" vertical="center" wrapText="1"/>
      <protection hidden="1"/>
    </xf>
    <xf numFmtId="2" fontId="8" fillId="0" borderId="104" xfId="0" applyNumberFormat="1" applyFont="1" applyBorder="1" applyAlignment="1" applyProtection="1">
      <alignment horizontal="right" vertical="center" wrapText="1"/>
      <protection hidden="1"/>
    </xf>
    <xf numFmtId="2" fontId="8" fillId="0" borderId="111" xfId="0" applyNumberFormat="1" applyFont="1" applyBorder="1" applyAlignment="1" applyProtection="1">
      <alignment horizontal="right" vertical="center" wrapText="1"/>
      <protection hidden="1"/>
    </xf>
    <xf numFmtId="2" fontId="0" fillId="0" borderId="108" xfId="0" applyNumberFormat="1" applyBorder="1" applyAlignment="1" applyProtection="1">
      <alignment vertical="center" wrapText="1"/>
      <protection hidden="1"/>
    </xf>
    <xf numFmtId="2" fontId="8" fillId="0" borderId="33" xfId="0" applyNumberFormat="1" applyFont="1" applyBorder="1" applyAlignment="1" applyProtection="1">
      <alignment horizontal="right" vertical="center" wrapText="1"/>
      <protection hidden="1"/>
    </xf>
    <xf numFmtId="2" fontId="8" fillId="0" borderId="112" xfId="0" applyNumberFormat="1" applyFont="1" applyBorder="1" applyAlignment="1" applyProtection="1">
      <alignment horizontal="right" vertical="center" wrapText="1"/>
      <protection hidden="1"/>
    </xf>
    <xf numFmtId="2" fontId="8" fillId="0" borderId="46" xfId="0" applyNumberFormat="1" applyFont="1" applyBorder="1" applyAlignment="1" applyProtection="1">
      <alignment horizontal="right" vertical="center" wrapText="1"/>
      <protection hidden="1"/>
    </xf>
    <xf numFmtId="2" fontId="8" fillId="0" borderId="50" xfId="0" applyNumberFormat="1" applyFont="1" applyBorder="1" applyAlignment="1" applyProtection="1">
      <alignment horizontal="right" vertical="center" wrapText="1"/>
      <protection hidden="1"/>
    </xf>
    <xf numFmtId="2" fontId="8" fillId="5" borderId="50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48" xfId="0" applyNumberFormat="1" applyFont="1" applyBorder="1" applyAlignment="1" applyProtection="1">
      <alignment horizontal="right" vertical="center" wrapText="1"/>
      <protection hidden="1"/>
    </xf>
    <xf numFmtId="0" fontId="0" fillId="0" borderId="71" xfId="0" applyBorder="1" applyAlignment="1" applyProtection="1">
      <alignment vertical="center" wrapText="1"/>
      <protection hidden="1"/>
    </xf>
    <xf numFmtId="2" fontId="0" fillId="0" borderId="71" xfId="0" applyNumberFormat="1" applyBorder="1" applyAlignment="1" applyProtection="1">
      <alignment vertical="center" wrapText="1"/>
      <protection hidden="1"/>
    </xf>
    <xf numFmtId="2" fontId="0" fillId="0" borderId="113" xfId="0" applyNumberFormat="1" applyBorder="1" applyAlignment="1" applyProtection="1">
      <alignment vertical="center" wrapText="1"/>
      <protection hidden="1"/>
    </xf>
    <xf numFmtId="2" fontId="8" fillId="0" borderId="54" xfId="0" applyNumberFormat="1" applyFont="1" applyBorder="1" applyAlignment="1" applyProtection="1">
      <alignment horizontal="right" vertical="center" wrapText="1"/>
      <protection hidden="1"/>
    </xf>
    <xf numFmtId="2" fontId="8" fillId="0" borderId="53" xfId="0" applyNumberFormat="1" applyFont="1" applyBorder="1" applyAlignment="1" applyProtection="1">
      <alignment horizontal="right" vertical="center" wrapText="1"/>
      <protection hidden="1"/>
    </xf>
    <xf numFmtId="2" fontId="8" fillId="5" borderId="115" xfId="0" applyNumberFormat="1" applyFont="1" applyFill="1" applyBorder="1" applyAlignment="1" applyProtection="1">
      <alignment horizontal="right" vertical="center" wrapText="1"/>
      <protection hidden="1"/>
    </xf>
    <xf numFmtId="2" fontId="8" fillId="5" borderId="31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31" xfId="0" applyNumberFormat="1" applyFont="1" applyBorder="1" applyAlignment="1" applyProtection="1">
      <alignment horizontal="right" vertical="center" wrapText="1"/>
      <protection hidden="1"/>
    </xf>
    <xf numFmtId="2" fontId="8" fillId="0" borderId="62" xfId="0" applyNumberFormat="1" applyFont="1" applyBorder="1" applyAlignment="1" applyProtection="1">
      <alignment horizontal="right"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2" fontId="0" fillId="0" borderId="75" xfId="0" applyNumberFormat="1" applyBorder="1" applyAlignment="1" applyProtection="1">
      <alignment vertical="center" wrapText="1"/>
      <protection hidden="1"/>
    </xf>
    <xf numFmtId="2" fontId="0" fillId="0" borderId="116" xfId="0" applyNumberFormat="1" applyBorder="1" applyAlignment="1" applyProtection="1">
      <alignment vertical="center" wrapText="1"/>
      <protection hidden="1"/>
    </xf>
    <xf numFmtId="2" fontId="8" fillId="5" borderId="33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46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50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48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71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72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54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53" xfId="0" applyNumberFormat="1" applyBorder="1" applyAlignment="1" applyProtection="1">
      <alignment horizontal="right" vertical="center" wrapText="1"/>
      <protection hidden="1"/>
    </xf>
    <xf numFmtId="2" fontId="0" fillId="5" borderId="103" xfId="0" applyNumberFormat="1" applyFill="1" applyBorder="1" applyAlignment="1" applyProtection="1">
      <alignment horizontal="right" vertical="center" wrapText="1"/>
      <protection hidden="1"/>
    </xf>
    <xf numFmtId="2" fontId="0" fillId="5" borderId="75" xfId="0" applyNumberFormat="1" applyFill="1" applyBorder="1" applyAlignment="1" applyProtection="1">
      <alignment horizontal="right" vertical="center" wrapText="1"/>
      <protection hidden="1"/>
    </xf>
    <xf numFmtId="2" fontId="0" fillId="5" borderId="78" xfId="0" applyNumberFormat="1" applyFill="1" applyBorder="1" applyAlignment="1" applyProtection="1">
      <alignment horizontal="right" vertical="center" wrapText="1"/>
      <protection hidden="1"/>
    </xf>
    <xf numFmtId="2" fontId="7" fillId="0" borderId="33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112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17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71" xfId="0" applyNumberFormat="1" applyFont="1" applyFill="1" applyBorder="1" applyAlignment="1" applyProtection="1">
      <alignment horizontal="right" vertical="center" wrapText="1"/>
      <protection hidden="1"/>
    </xf>
    <xf numFmtId="1" fontId="8" fillId="12" borderId="71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72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18" xfId="0" applyNumberFormat="1" applyFont="1" applyBorder="1" applyAlignment="1" applyProtection="1">
      <alignment horizontal="right" vertical="center" wrapText="1"/>
      <protection hidden="1"/>
    </xf>
    <xf numFmtId="1" fontId="8" fillId="12" borderId="119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50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54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46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7" fillId="3" borderId="54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50" xfId="0" applyFont="1" applyFill="1" applyBorder="1" applyAlignment="1" applyProtection="1">
      <alignment vertical="center" wrapText="1"/>
      <protection locked="0"/>
    </xf>
    <xf numFmtId="0" fontId="7" fillId="3" borderId="52" xfId="0" applyFont="1" applyFill="1" applyBorder="1" applyAlignment="1" applyProtection="1">
      <alignment vertical="center" wrapText="1"/>
      <protection locked="0"/>
    </xf>
    <xf numFmtId="0" fontId="7" fillId="3" borderId="53" xfId="0" applyFont="1" applyFill="1" applyBorder="1" applyAlignment="1" applyProtection="1">
      <alignment vertical="center" wrapText="1"/>
      <protection locked="0"/>
    </xf>
    <xf numFmtId="165" fontId="6" fillId="6" borderId="76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67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72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81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54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53" xfId="0" applyNumberFormat="1" applyFont="1" applyFill="1" applyBorder="1" applyAlignment="1" applyProtection="1">
      <alignment horizontal="right" vertical="center" wrapText="1"/>
      <protection hidden="1"/>
    </xf>
    <xf numFmtId="2" fontId="0" fillId="2" borderId="3" xfId="0" applyNumberFormat="1" applyFill="1" applyBorder="1" applyAlignment="1" applyProtection="1">
      <alignment vertical="center" wrapText="1"/>
      <protection locked="0"/>
    </xf>
    <xf numFmtId="2" fontId="0" fillId="2" borderId="19" xfId="0" applyNumberFormat="1" applyFill="1" applyBorder="1" applyAlignment="1" applyProtection="1">
      <alignment vertical="center" wrapText="1"/>
      <protection locked="0"/>
    </xf>
    <xf numFmtId="2" fontId="0" fillId="2" borderId="3" xfId="0" applyNumberFormat="1" applyFont="1" applyFill="1" applyBorder="1" applyAlignment="1" applyProtection="1">
      <alignment vertical="center" wrapText="1"/>
      <protection locked="0"/>
    </xf>
    <xf numFmtId="2" fontId="3" fillId="2" borderId="3" xfId="0" applyNumberFormat="1" applyFont="1" applyFill="1" applyBorder="1" applyAlignment="1" applyProtection="1">
      <alignment vertical="center" wrapText="1"/>
      <protection locked="0"/>
    </xf>
    <xf numFmtId="2" fontId="0" fillId="2" borderId="52" xfId="0" applyNumberFormat="1" applyFill="1" applyBorder="1" applyAlignment="1" applyProtection="1">
      <alignment vertical="center" wrapText="1"/>
      <protection locked="0"/>
    </xf>
    <xf numFmtId="1" fontId="0" fillId="2" borderId="89" xfId="0" applyNumberFormat="1" applyFill="1" applyBorder="1" applyAlignment="1" applyProtection="1">
      <alignment vertical="center" wrapText="1"/>
      <protection locked="0"/>
    </xf>
    <xf numFmtId="1" fontId="0" fillId="2" borderId="82" xfId="0" applyNumberForma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22" fillId="14" borderId="2" xfId="0" applyFont="1" applyFill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7" fillId="3" borderId="48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11" borderId="43" xfId="0" applyFill="1" applyBorder="1" applyAlignment="1" applyProtection="1">
      <alignment horizontal="left" vertical="center" wrapText="1"/>
      <protection locked="0"/>
    </xf>
    <xf numFmtId="0" fontId="7" fillId="3" borderId="142" xfId="0" applyFont="1" applyFill="1" applyBorder="1" applyAlignment="1" applyProtection="1">
      <alignment vertical="center" wrapText="1"/>
      <protection locked="0"/>
    </xf>
    <xf numFmtId="165" fontId="9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right" vertical="center" wrapText="1"/>
      <protection hidden="1"/>
    </xf>
    <xf numFmtId="0" fontId="0" fillId="0" borderId="145" xfId="0" applyFont="1" applyBorder="1" applyAlignment="1" applyProtection="1">
      <alignment horizontal="center" vertical="center" wrapText="1"/>
      <protection hidden="1"/>
    </xf>
    <xf numFmtId="165" fontId="6" fillId="6" borderId="146" xfId="0" applyNumberFormat="1" applyFont="1" applyFill="1" applyBorder="1" applyAlignment="1" applyProtection="1">
      <alignment horizontal="right" vertical="center" wrapText="1"/>
      <protection hidden="1"/>
    </xf>
    <xf numFmtId="165" fontId="9" fillId="6" borderId="146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14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0" xfId="0" applyFont="1" applyBorder="1" applyAlignment="1" applyProtection="1">
      <alignment horizontal="center" vertical="center" wrapText="1"/>
      <protection hidden="1"/>
    </xf>
    <xf numFmtId="165" fontId="6" fillId="6" borderId="7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1" xfId="0" applyBorder="1" applyAlignment="1" applyProtection="1">
      <alignment horizontal="right" vertical="center" wrapText="1"/>
      <protection hidden="1"/>
    </xf>
    <xf numFmtId="0" fontId="0" fillId="0" borderId="148" xfId="0" applyFont="1" applyBorder="1" applyAlignment="1" applyProtection="1">
      <alignment horizontal="center" vertical="center" wrapText="1"/>
      <protection hidden="1"/>
    </xf>
    <xf numFmtId="0" fontId="7" fillId="0" borderId="149" xfId="0" applyFont="1" applyFill="1" applyBorder="1" applyAlignment="1" applyProtection="1">
      <alignment horizontal="right" vertical="center" wrapText="1"/>
      <protection hidden="1"/>
    </xf>
    <xf numFmtId="0" fontId="0" fillId="0" borderId="149" xfId="0" applyBorder="1" applyAlignment="1" applyProtection="1">
      <alignment horizontal="right" vertical="center" wrapText="1"/>
      <protection hidden="1"/>
    </xf>
    <xf numFmtId="0" fontId="0" fillId="0" borderId="150" xfId="0" applyBorder="1" applyAlignment="1" applyProtection="1">
      <alignment horizontal="right" vertical="center" wrapText="1"/>
      <protection hidden="1"/>
    </xf>
    <xf numFmtId="0" fontId="0" fillId="0" borderId="151" xfId="0" applyFont="1" applyBorder="1" applyAlignment="1" applyProtection="1">
      <alignment horizontal="center" vertical="center" wrapText="1"/>
      <protection hidden="1"/>
    </xf>
    <xf numFmtId="165" fontId="9" fillId="6" borderId="81" xfId="0" applyNumberFormat="1" applyFont="1" applyFill="1" applyBorder="1" applyAlignment="1" applyProtection="1">
      <alignment horizontal="right" vertical="center" wrapText="1"/>
      <protection hidden="1"/>
    </xf>
    <xf numFmtId="165" fontId="6" fillId="6" borderId="11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52" xfId="0" applyFont="1" applyBorder="1" applyAlignment="1" applyProtection="1">
      <alignment horizontal="center" vertical="center" wrapText="1"/>
      <protection hidden="1"/>
    </xf>
    <xf numFmtId="165" fontId="9" fillId="6" borderId="67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46" xfId="0" applyFont="1" applyBorder="1" applyAlignment="1" applyProtection="1">
      <alignment horizontal="center" vertical="center" wrapText="1"/>
      <protection hidden="1"/>
    </xf>
    <xf numFmtId="0" fontId="1" fillId="0" borderId="147" xfId="0" applyFont="1" applyBorder="1" applyAlignment="1" applyProtection="1">
      <alignment horizontal="center" vertical="center" wrapText="1"/>
      <protection hidden="1"/>
    </xf>
    <xf numFmtId="0" fontId="22" fillId="14" borderId="154" xfId="0" applyFont="1" applyFill="1" applyBorder="1" applyAlignment="1" applyProtection="1">
      <alignment horizontal="center" vertical="center" wrapText="1"/>
      <protection hidden="1"/>
    </xf>
    <xf numFmtId="0" fontId="22" fillId="14" borderId="153" xfId="0" applyFont="1" applyFill="1" applyBorder="1" applyAlignment="1" applyProtection="1">
      <alignment horizontal="center" vertical="center" wrapText="1"/>
      <protection hidden="1"/>
    </xf>
    <xf numFmtId="2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23" fillId="14" borderId="15" xfId="0" applyFont="1" applyFill="1" applyBorder="1" applyAlignment="1" applyProtection="1">
      <alignment horizontal="left" vertical="center" wrapText="1"/>
      <protection hidden="1"/>
    </xf>
    <xf numFmtId="0" fontId="1" fillId="4" borderId="131" xfId="0" applyFont="1" applyFill="1" applyBorder="1" applyAlignment="1" applyProtection="1">
      <alignment horizontal="center" vertical="center" wrapText="1"/>
      <protection hidden="1"/>
    </xf>
    <xf numFmtId="0" fontId="1" fillId="4" borderId="76" xfId="0" applyFont="1" applyFill="1" applyBorder="1" applyAlignment="1" applyProtection="1">
      <alignment horizontal="center" vertical="center" wrapText="1"/>
      <protection hidden="1"/>
    </xf>
    <xf numFmtId="0" fontId="1" fillId="4" borderId="117" xfId="0" applyFont="1" applyFill="1" applyBorder="1" applyAlignment="1" applyProtection="1">
      <alignment horizontal="center" vertical="center" wrapText="1"/>
      <protection hidden="1"/>
    </xf>
    <xf numFmtId="2" fontId="0" fillId="2" borderId="49" xfId="0" applyNumberFormat="1" applyFill="1" applyBorder="1" applyAlignment="1" applyProtection="1">
      <alignment horizontal="right" vertical="center" wrapText="1"/>
      <protection locked="0"/>
    </xf>
    <xf numFmtId="2" fontId="0" fillId="2" borderId="3" xfId="0" applyNumberFormat="1" applyFill="1" applyBorder="1" applyAlignment="1" applyProtection="1">
      <alignment horizontal="right" vertical="center" wrapText="1"/>
      <protection locked="0"/>
    </xf>
    <xf numFmtId="2" fontId="0" fillId="2" borderId="50" xfId="0" applyNumberFormat="1" applyFill="1" applyBorder="1" applyAlignment="1" applyProtection="1">
      <alignment horizontal="right" vertical="center" wrapText="1"/>
      <protection locked="0"/>
    </xf>
    <xf numFmtId="2" fontId="6" fillId="6" borderId="70" xfId="0" applyNumberFormat="1" applyFont="1" applyFill="1" applyBorder="1" applyAlignment="1" applyProtection="1">
      <alignment horizontal="right" vertical="center" wrapText="1"/>
      <protection hidden="1"/>
    </xf>
    <xf numFmtId="167" fontId="6" fillId="6" borderId="148" xfId="0" applyNumberFormat="1" applyFont="1" applyFill="1" applyBorder="1" applyAlignment="1" applyProtection="1">
      <alignment horizontal="right" vertical="center" wrapText="1"/>
      <protection hidden="1"/>
    </xf>
    <xf numFmtId="167" fontId="6" fillId="6" borderId="149" xfId="0" applyNumberFormat="1" applyFont="1" applyFill="1" applyBorder="1" applyAlignment="1" applyProtection="1">
      <alignment horizontal="right" vertical="center" wrapText="1"/>
      <protection hidden="1"/>
    </xf>
    <xf numFmtId="167" fontId="6" fillId="6" borderId="15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67" fontId="0" fillId="3" borderId="70" xfId="0" applyNumberFormat="1" applyFill="1" applyBorder="1" applyAlignment="1" applyProtection="1">
      <alignment horizontal="right" vertical="center" wrapText="1"/>
      <protection hidden="1"/>
    </xf>
    <xf numFmtId="167" fontId="0" fillId="3" borderId="1" xfId="0" applyNumberFormat="1" applyFill="1" applyBorder="1" applyAlignment="1" applyProtection="1">
      <alignment horizontal="right" vertical="center" wrapText="1"/>
      <protection hidden="1"/>
    </xf>
    <xf numFmtId="167" fontId="0" fillId="3" borderId="71" xfId="0" applyNumberFormat="1" applyFill="1" applyBorder="1" applyAlignment="1" applyProtection="1">
      <alignment horizontal="right" vertical="center" wrapText="1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2" fontId="0" fillId="0" borderId="71" xfId="0" applyNumberFormat="1" applyBorder="1" applyAlignment="1" applyProtection="1">
      <alignment horizontal="right"/>
      <protection hidden="1"/>
    </xf>
    <xf numFmtId="2" fontId="0" fillId="0" borderId="149" xfId="0" applyNumberFormat="1" applyBorder="1" applyAlignment="1" applyProtection="1">
      <alignment horizontal="right"/>
      <protection hidden="1"/>
    </xf>
    <xf numFmtId="2" fontId="0" fillId="0" borderId="150" xfId="0" applyNumberFormat="1" applyBorder="1" applyAlignment="1" applyProtection="1">
      <alignment horizontal="right"/>
      <protection hidden="1"/>
    </xf>
    <xf numFmtId="167" fontId="0" fillId="2" borderId="49" xfId="0" applyNumberFormat="1" applyFill="1" applyBorder="1" applyAlignment="1" applyProtection="1">
      <alignment horizontal="right" vertical="center" wrapText="1"/>
      <protection locked="0"/>
    </xf>
    <xf numFmtId="167" fontId="0" fillId="2" borderId="3" xfId="0" applyNumberFormat="1" applyFill="1" applyBorder="1" applyAlignment="1" applyProtection="1">
      <alignment horizontal="right" vertical="center" wrapText="1"/>
      <protection locked="0"/>
    </xf>
    <xf numFmtId="167" fontId="0" fillId="2" borderId="50" xfId="0" applyNumberFormat="1" applyFill="1" applyBorder="1" applyAlignment="1" applyProtection="1">
      <alignment horizontal="right" vertical="center" wrapText="1"/>
      <protection locked="0"/>
    </xf>
    <xf numFmtId="164" fontId="3" fillId="0" borderId="2" xfId="0" quotePrefix="1" applyNumberFormat="1" applyFont="1" applyBorder="1" applyAlignment="1">
      <alignment vertical="center" wrapText="1"/>
    </xf>
    <xf numFmtId="2" fontId="0" fillId="0" borderId="75" xfId="0" applyNumberFormat="1" applyBorder="1" applyAlignment="1" applyProtection="1">
      <alignment horizontal="right"/>
      <protection hidden="1"/>
    </xf>
    <xf numFmtId="2" fontId="0" fillId="0" borderId="156" xfId="0" applyNumberFormat="1" applyBorder="1" applyAlignment="1" applyProtection="1">
      <alignment horizontal="right"/>
      <protection hidden="1"/>
    </xf>
    <xf numFmtId="1" fontId="0" fillId="0" borderId="159" xfId="0" applyNumberFormat="1" applyBorder="1" applyAlignment="1" applyProtection="1">
      <alignment horizontal="center"/>
      <protection hidden="1"/>
    </xf>
    <xf numFmtId="0" fontId="0" fillId="0" borderId="159" xfId="0" applyBorder="1" applyAlignment="1" applyProtection="1">
      <alignment horizontal="center"/>
      <protection hidden="1"/>
    </xf>
    <xf numFmtId="0" fontId="0" fillId="0" borderId="160" xfId="0" applyBorder="1" applyAlignment="1" applyProtection="1">
      <alignment horizontal="center"/>
      <protection hidden="1"/>
    </xf>
    <xf numFmtId="167" fontId="7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0" fillId="0" borderId="2" xfId="0" quotePrefix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0" fillId="0" borderId="2" xfId="0" applyNumberFormat="1" applyBorder="1" applyAlignment="1">
      <alignment horizontal="left" vertical="center" wrapText="1"/>
    </xf>
    <xf numFmtId="0" fontId="21" fillId="0" borderId="2" xfId="0" quotePrefix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11" borderId="36" xfId="0" applyFill="1" applyBorder="1" applyAlignment="1" applyProtection="1">
      <alignment horizontal="left" vertical="top" wrapText="1"/>
      <protection locked="0"/>
    </xf>
    <xf numFmtId="0" fontId="0" fillId="11" borderId="37" xfId="0" applyFill="1" applyBorder="1" applyAlignment="1" applyProtection="1">
      <alignment horizontal="left" vertical="top" wrapText="1"/>
      <protection locked="0"/>
    </xf>
    <xf numFmtId="0" fontId="0" fillId="11" borderId="38" xfId="0" applyFill="1" applyBorder="1" applyAlignment="1" applyProtection="1">
      <alignment horizontal="left" vertical="top" wrapText="1"/>
      <protection locked="0"/>
    </xf>
    <xf numFmtId="0" fontId="0" fillId="11" borderId="39" xfId="0" applyFill="1" applyBorder="1" applyAlignment="1" applyProtection="1">
      <alignment horizontal="left" vertical="top" wrapText="1"/>
      <protection locked="0"/>
    </xf>
    <xf numFmtId="0" fontId="0" fillId="11" borderId="0" xfId="0" applyFill="1" applyBorder="1" applyAlignment="1" applyProtection="1">
      <alignment horizontal="left" vertical="top" wrapText="1"/>
      <protection locked="0"/>
    </xf>
    <xf numFmtId="0" fontId="0" fillId="11" borderId="40" xfId="0" applyFill="1" applyBorder="1" applyAlignment="1" applyProtection="1">
      <alignment horizontal="left" vertical="top" wrapText="1"/>
      <protection locked="0"/>
    </xf>
    <xf numFmtId="0" fontId="0" fillId="11" borderId="41" xfId="0" applyFill="1" applyBorder="1" applyAlignment="1" applyProtection="1">
      <alignment horizontal="left" vertical="top" wrapText="1"/>
      <protection locked="0"/>
    </xf>
    <xf numFmtId="0" fontId="0" fillId="11" borderId="42" xfId="0" applyFill="1" applyBorder="1" applyAlignment="1" applyProtection="1">
      <alignment horizontal="left" vertical="top" wrapText="1"/>
      <protection locked="0"/>
    </xf>
    <xf numFmtId="0" fontId="0" fillId="11" borderId="43" xfId="0" applyFill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2" fontId="6" fillId="6" borderId="15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59" xfId="0" applyFill="1" applyBorder="1" applyAlignment="1" applyProtection="1">
      <alignment horizontal="left" vertical="center" wrapText="1"/>
      <protection locked="0"/>
    </xf>
    <xf numFmtId="0" fontId="0" fillId="11" borderId="60" xfId="0" applyFill="1" applyBorder="1" applyAlignment="1" applyProtection="1">
      <alignment horizontal="left" vertical="center" wrapText="1"/>
      <protection locked="0"/>
    </xf>
    <xf numFmtId="0" fontId="0" fillId="11" borderId="61" xfId="0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1" fillId="0" borderId="79" xfId="0" applyFont="1" applyBorder="1" applyAlignment="1" applyProtection="1">
      <alignment horizontal="center" vertical="center" wrapText="1"/>
      <protection hidden="1"/>
    </xf>
    <xf numFmtId="0" fontId="1" fillId="0" borderId="110" xfId="0" applyFont="1" applyBorder="1" applyAlignment="1" applyProtection="1">
      <alignment horizontal="center" vertical="center" wrapText="1"/>
      <protection hidden="1"/>
    </xf>
    <xf numFmtId="0" fontId="10" fillId="0" borderId="125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0" fillId="4" borderId="126" xfId="0" applyFill="1" applyBorder="1" applyAlignment="1" applyProtection="1">
      <alignment horizontal="center" vertical="center" wrapText="1"/>
      <protection hidden="1"/>
    </xf>
    <xf numFmtId="0" fontId="0" fillId="4" borderId="115" xfId="0" applyFill="1" applyBorder="1" applyAlignment="1" applyProtection="1">
      <alignment horizontal="center" vertical="center" wrapText="1"/>
      <protection hidden="1"/>
    </xf>
    <xf numFmtId="0" fontId="1" fillId="9" borderId="15" xfId="0" applyFont="1" applyFill="1" applyBorder="1" applyAlignment="1" applyProtection="1">
      <alignment horizontal="left" vertical="center" wrapText="1"/>
      <protection hidden="1"/>
    </xf>
    <xf numFmtId="0" fontId="1" fillId="9" borderId="11" xfId="0" applyFont="1" applyFill="1" applyBorder="1" applyAlignment="1" applyProtection="1">
      <alignment horizontal="left" vertical="center" wrapText="1"/>
      <protection hidden="1"/>
    </xf>
    <xf numFmtId="0" fontId="1" fillId="9" borderId="4" xfId="0" applyFont="1" applyFill="1" applyBorder="1" applyAlignment="1" applyProtection="1">
      <alignment horizontal="left" vertical="center" wrapText="1"/>
      <protection hidden="1"/>
    </xf>
    <xf numFmtId="0" fontId="1" fillId="7" borderId="15" xfId="0" applyFont="1" applyFill="1" applyBorder="1" applyAlignment="1" applyProtection="1">
      <alignment horizontal="left" vertical="center" wrapText="1"/>
      <protection hidden="1"/>
    </xf>
    <xf numFmtId="0" fontId="1" fillId="7" borderId="11" xfId="0" applyFont="1" applyFill="1" applyBorder="1" applyAlignment="1" applyProtection="1">
      <alignment horizontal="left" vertical="center" wrapText="1"/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8" borderId="15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1" fillId="8" borderId="4" xfId="0" applyFont="1" applyFill="1" applyBorder="1" applyAlignment="1" applyProtection="1">
      <alignment horizontal="left" vertical="center" wrapText="1"/>
      <protection hidden="1"/>
    </xf>
    <xf numFmtId="0" fontId="1" fillId="0" borderId="131" xfId="0" applyFont="1" applyBorder="1" applyAlignment="1" applyProtection="1">
      <alignment horizontal="center" vertical="center" wrapText="1"/>
      <protection hidden="1"/>
    </xf>
    <xf numFmtId="0" fontId="1" fillId="0" borderId="132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" fillId="0" borderId="126" xfId="0" applyFont="1" applyBorder="1" applyAlignment="1" applyProtection="1">
      <alignment horizontal="center" vertical="center" wrapText="1"/>
      <protection hidden="1"/>
    </xf>
    <xf numFmtId="0" fontId="1" fillId="0" borderId="124" xfId="0" applyFont="1" applyBorder="1" applyAlignment="1" applyProtection="1">
      <alignment horizontal="center" vertical="center" wrapText="1"/>
      <protection hidden="1"/>
    </xf>
    <xf numFmtId="0" fontId="1" fillId="0" borderId="127" xfId="0" applyFont="1" applyBorder="1" applyAlignment="1" applyProtection="1">
      <alignment horizontal="center" vertical="center" wrapText="1"/>
      <protection hidden="1"/>
    </xf>
    <xf numFmtId="0" fontId="0" fillId="11" borderId="59" xfId="0" applyFill="1" applyBorder="1" applyAlignment="1" applyProtection="1">
      <alignment horizontal="center" vertical="center" wrapText="1"/>
      <protection locked="0"/>
    </xf>
    <xf numFmtId="0" fontId="0" fillId="11" borderId="60" xfId="0" applyFill="1" applyBorder="1" applyAlignment="1" applyProtection="1">
      <alignment horizontal="center" vertical="center" wrapText="1"/>
      <protection locked="0"/>
    </xf>
    <xf numFmtId="0" fontId="4" fillId="4" borderId="128" xfId="0" applyFont="1" applyFill="1" applyBorder="1" applyAlignment="1" applyProtection="1">
      <alignment horizontal="center" vertical="center" wrapText="1"/>
      <protection hidden="1"/>
    </xf>
    <xf numFmtId="0" fontId="4" fillId="4" borderId="129" xfId="0" applyFont="1" applyFill="1" applyBorder="1" applyAlignment="1" applyProtection="1">
      <alignment horizontal="center" vertical="center" wrapText="1"/>
      <protection hidden="1"/>
    </xf>
    <xf numFmtId="0" fontId="4" fillId="4" borderId="130" xfId="0" applyFont="1" applyFill="1" applyBorder="1" applyAlignment="1" applyProtection="1">
      <alignment horizontal="center" vertical="center" wrapText="1"/>
      <protection hidden="1"/>
    </xf>
    <xf numFmtId="0" fontId="0" fillId="4" borderId="127" xfId="0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0" fontId="1" fillId="4" borderId="133" xfId="0" applyFont="1" applyFill="1" applyBorder="1" applyAlignment="1" applyProtection="1">
      <alignment horizontal="center" vertical="center" wrapText="1"/>
      <protection hidden="1"/>
    </xf>
    <xf numFmtId="0" fontId="1" fillId="4" borderId="48" xfId="0" applyFont="1" applyFill="1" applyBorder="1" applyAlignment="1" applyProtection="1">
      <alignment horizontal="center" vertical="center" wrapText="1"/>
      <protection hidden="1"/>
    </xf>
    <xf numFmtId="0" fontId="1" fillId="4" borderId="105" xfId="0" applyFont="1" applyFill="1" applyBorder="1" applyAlignment="1" applyProtection="1">
      <alignment horizontal="center" vertical="center" wrapText="1"/>
      <protection hidden="1"/>
    </xf>
    <xf numFmtId="2" fontId="6" fillId="14" borderId="155" xfId="0" applyNumberFormat="1" applyFont="1" applyFill="1" applyBorder="1" applyAlignment="1" applyProtection="1">
      <alignment horizontal="center"/>
      <protection hidden="1"/>
    </xf>
    <xf numFmtId="2" fontId="6" fillId="14" borderId="146" xfId="0" applyNumberFormat="1" applyFont="1" applyFill="1" applyBorder="1" applyAlignment="1" applyProtection="1">
      <alignment horizontal="center"/>
      <protection hidden="1"/>
    </xf>
    <xf numFmtId="2" fontId="6" fillId="14" borderId="147" xfId="0" applyNumberFormat="1" applyFont="1" applyFill="1" applyBorder="1" applyAlignment="1" applyProtection="1">
      <alignment horizontal="center"/>
      <protection hidden="1"/>
    </xf>
    <xf numFmtId="0" fontId="22" fillId="14" borderId="157" xfId="0" applyFont="1" applyFill="1" applyBorder="1" applyAlignment="1" applyProtection="1">
      <alignment horizontal="center" vertical="center" wrapText="1"/>
      <protection hidden="1"/>
    </xf>
    <xf numFmtId="0" fontId="22" fillId="14" borderId="158" xfId="0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hidden="1"/>
    </xf>
    <xf numFmtId="2" fontId="0" fillId="5" borderId="3" xfId="0" applyNumberFormat="1" applyFill="1" applyBorder="1" applyAlignment="1" applyProtection="1">
      <alignment horizontal="right" vertical="center" wrapText="1"/>
      <protection hidden="1"/>
    </xf>
    <xf numFmtId="2" fontId="0" fillId="0" borderId="3" xfId="0" applyNumberForma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17" fillId="0" borderId="21" xfId="0" applyFont="1" applyBorder="1" applyAlignment="1" applyProtection="1">
      <alignment horizontal="left" vertical="center" wrapText="1"/>
      <protection hidden="1"/>
    </xf>
    <xf numFmtId="0" fontId="0" fillId="0" borderId="65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21" xfId="0" applyBorder="1" applyAlignment="1" applyProtection="1">
      <alignment horizontal="center" vertical="center" wrapText="1"/>
      <protection hidden="1"/>
    </xf>
    <xf numFmtId="0" fontId="0" fillId="0" borderId="122" xfId="0" applyBorder="1" applyAlignment="1" applyProtection="1">
      <alignment horizontal="center" vertical="center" wrapText="1"/>
      <protection hidden="1"/>
    </xf>
    <xf numFmtId="0" fontId="0" fillId="0" borderId="123" xfId="0" applyBorder="1" applyAlignment="1" applyProtection="1">
      <alignment horizontal="center" vertical="center" wrapText="1"/>
      <protection hidden="1"/>
    </xf>
    <xf numFmtId="0" fontId="1" fillId="0" borderId="120" xfId="0" applyFont="1" applyBorder="1" applyAlignment="1" applyProtection="1">
      <alignment horizontal="center" vertical="center" wrapText="1"/>
      <protection hidden="1"/>
    </xf>
    <xf numFmtId="0" fontId="1" fillId="0" borderId="112" xfId="0" applyFont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4" borderId="52" xfId="0" applyFont="1" applyFill="1" applyBorder="1" applyAlignment="1" applyProtection="1">
      <alignment horizontal="center" vertical="center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92" xfId="0" applyFont="1" applyFill="1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" fillId="0" borderId="73" xfId="0" applyFont="1" applyBorder="1" applyAlignment="1" applyProtection="1">
      <alignment horizontal="center" vertical="center" wrapText="1"/>
      <protection hidden="1"/>
    </xf>
    <xf numFmtId="0" fontId="1" fillId="0" borderId="106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1" fillId="0" borderId="114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86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79" xfId="0" applyBorder="1" applyAlignment="1" applyProtection="1">
      <alignment horizontal="left" vertical="center" wrapText="1"/>
      <protection hidden="1"/>
    </xf>
    <xf numFmtId="0" fontId="0" fillId="13" borderId="21" xfId="0" applyFill="1" applyBorder="1" applyAlignment="1" applyProtection="1">
      <alignment horizontal="left" vertical="center" wrapText="1"/>
      <protection hidden="1"/>
    </xf>
    <xf numFmtId="0" fontId="0" fillId="13" borderId="3" xfId="0" applyFill="1" applyBorder="1" applyAlignment="1" applyProtection="1">
      <alignment horizontal="left" vertical="center" wrapText="1"/>
      <protection hidden="1"/>
    </xf>
    <xf numFmtId="0" fontId="0" fillId="13" borderId="65" xfId="0" applyFill="1" applyBorder="1" applyAlignment="1" applyProtection="1">
      <alignment horizontal="left" vertical="center" wrapText="1"/>
      <protection hidden="1"/>
    </xf>
    <xf numFmtId="0" fontId="1" fillId="0" borderId="143" xfId="0" applyFont="1" applyBorder="1" applyAlignment="1" applyProtection="1">
      <alignment horizontal="center" vertical="center" wrapText="1"/>
      <protection hidden="1"/>
    </xf>
    <xf numFmtId="0" fontId="1" fillId="0" borderId="144" xfId="0" applyFont="1" applyBorder="1" applyAlignment="1" applyProtection="1">
      <alignment horizontal="center" vertical="center" wrapText="1"/>
      <protection hidden="1"/>
    </xf>
    <xf numFmtId="0" fontId="1" fillId="4" borderId="141" xfId="0" applyFont="1" applyFill="1" applyBorder="1" applyAlignment="1" applyProtection="1">
      <alignment horizontal="center" vertical="center" wrapText="1"/>
      <protection hidden="1"/>
    </xf>
    <xf numFmtId="0" fontId="1" fillId="4" borderId="142" xfId="0" applyFont="1" applyFill="1" applyBorder="1" applyAlignment="1" applyProtection="1">
      <alignment horizontal="center" vertical="center" wrapText="1"/>
      <protection hidden="1"/>
    </xf>
    <xf numFmtId="0" fontId="1" fillId="4" borderId="139" xfId="0" applyFont="1" applyFill="1" applyBorder="1" applyAlignment="1" applyProtection="1">
      <alignment horizontal="center" vertical="center" wrapText="1"/>
      <protection hidden="1"/>
    </xf>
    <xf numFmtId="0" fontId="1" fillId="4" borderId="140" xfId="0" applyFont="1" applyFill="1" applyBorder="1" applyAlignment="1" applyProtection="1">
      <alignment horizontal="center" vertical="center" wrapText="1"/>
      <protection hidden="1"/>
    </xf>
    <xf numFmtId="0" fontId="1" fillId="0" borderId="137" xfId="0" applyFont="1" applyBorder="1" applyAlignment="1" applyProtection="1">
      <alignment horizontal="center" vertical="center" wrapText="1"/>
      <protection hidden="1"/>
    </xf>
    <xf numFmtId="0" fontId="1" fillId="0" borderId="138" xfId="0" applyFont="1" applyBorder="1" applyAlignment="1" applyProtection="1">
      <alignment horizontal="center" vertical="center" wrapText="1"/>
      <protection hidden="1"/>
    </xf>
    <xf numFmtId="0" fontId="1" fillId="0" borderId="135" xfId="0" applyFont="1" applyBorder="1" applyAlignment="1" applyProtection="1">
      <alignment horizontal="center" vertical="center" wrapText="1"/>
      <protection hidden="1"/>
    </xf>
    <xf numFmtId="0" fontId="1" fillId="0" borderId="136" xfId="0" applyFont="1" applyBorder="1" applyAlignment="1" applyProtection="1">
      <alignment horizontal="center" vertical="center" wrapText="1"/>
      <protection hidden="1"/>
    </xf>
    <xf numFmtId="0" fontId="1" fillId="0" borderId="134" xfId="0" applyFont="1" applyBorder="1" applyAlignment="1" applyProtection="1">
      <alignment horizontal="center" vertical="center" wrapText="1"/>
      <protection hidden="1"/>
    </xf>
    <xf numFmtId="0" fontId="0" fillId="11" borderId="37" xfId="0" quotePrefix="1" applyFill="1" applyBorder="1" applyAlignment="1" applyProtection="1">
      <alignment horizontal="left" vertical="top" wrapText="1"/>
      <protection locked="0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11" borderId="74" xfId="0" applyFill="1" applyBorder="1" applyAlignment="1">
      <alignment horizontal="right" vertical="center"/>
    </xf>
    <xf numFmtId="0" fontId="0" fillId="11" borderId="75" xfId="0" applyFill="1" applyBorder="1" applyAlignment="1">
      <alignment horizontal="right" vertical="center"/>
    </xf>
    <xf numFmtId="0" fontId="1" fillId="10" borderId="100" xfId="0" applyFont="1" applyFill="1" applyBorder="1" applyAlignment="1" applyProtection="1">
      <alignment horizontal="center" vertical="center" wrapText="1"/>
      <protection hidden="1"/>
    </xf>
    <xf numFmtId="0" fontId="1" fillId="10" borderId="101" xfId="0" applyFont="1" applyFill="1" applyBorder="1" applyAlignment="1" applyProtection="1">
      <alignment horizontal="center" vertical="center" wrapText="1"/>
      <protection hidden="1"/>
    </xf>
    <xf numFmtId="0" fontId="1" fillId="10" borderId="102" xfId="0" applyFont="1" applyFill="1" applyBorder="1" applyAlignment="1" applyProtection="1">
      <alignment horizontal="center" vertical="center" wrapText="1"/>
      <protection hidden="1"/>
    </xf>
    <xf numFmtId="0" fontId="0" fillId="0" borderId="99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0" fillId="10" borderId="3" xfId="0" applyFill="1" applyBorder="1" applyAlignment="1" applyProtection="1">
      <alignment horizontal="left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 wrapText="1"/>
      <protection hidden="1"/>
    </xf>
    <xf numFmtId="0" fontId="4" fillId="10" borderId="13" xfId="0" applyFont="1" applyFill="1" applyBorder="1" applyAlignment="1" applyProtection="1">
      <alignment horizontal="center" vertical="center" wrapText="1"/>
      <protection hidden="1"/>
    </xf>
    <xf numFmtId="0" fontId="4" fillId="10" borderId="14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0" borderId="7" xfId="0" applyFont="1" applyFill="1" applyBorder="1" applyAlignment="1" applyProtection="1">
      <alignment horizontal="center" vertical="center" wrapText="1"/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0" fillId="10" borderId="6" xfId="0" applyFill="1" applyBorder="1" applyAlignment="1" applyProtection="1">
      <alignment horizontal="left" vertical="center" wrapText="1"/>
      <protection hidden="1"/>
    </xf>
    <xf numFmtId="0" fontId="0" fillId="10" borderId="65" xfId="0" applyFill="1" applyBorder="1" applyAlignment="1" applyProtection="1">
      <alignment horizontal="left" vertical="center" wrapText="1"/>
      <protection hidden="1"/>
    </xf>
    <xf numFmtId="0" fontId="0" fillId="10" borderId="104" xfId="0" applyFill="1" applyBorder="1" applyAlignment="1" applyProtection="1">
      <alignment horizontal="left" vertical="center" wrapText="1"/>
      <protection hidden="1"/>
    </xf>
    <xf numFmtId="0" fontId="0" fillId="10" borderId="31" xfId="0" applyFill="1" applyBorder="1" applyAlignment="1" applyProtection="1">
      <alignment horizontal="left" vertical="center" wrapText="1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0" fontId="1" fillId="0" borderId="94" xfId="0" applyFont="1" applyBorder="1" applyAlignment="1" applyProtection="1">
      <alignment horizontal="center" vertical="center" wrapText="1"/>
      <protection hidden="1"/>
    </xf>
    <xf numFmtId="0" fontId="1" fillId="0" borderId="95" xfId="0" applyFont="1" applyBorder="1" applyAlignment="1" applyProtection="1">
      <alignment horizontal="center" vertical="center" wrapTex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0" fillId="10" borderId="17" xfId="0" applyFill="1" applyBorder="1" applyAlignment="1" applyProtection="1">
      <alignment horizontal="right" vertical="center" wrapText="1"/>
      <protection hidden="1"/>
    </xf>
    <xf numFmtId="0" fontId="0" fillId="10" borderId="6" xfId="0" applyFill="1" applyBorder="1" applyAlignment="1" applyProtection="1">
      <alignment horizontal="right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98" xfId="0" applyFont="1" applyBorder="1" applyAlignment="1" applyProtection="1">
      <alignment horizontal="center" vertical="center" wrapText="1"/>
      <protection hidden="1"/>
    </xf>
    <xf numFmtId="0" fontId="1" fillId="13" borderId="100" xfId="0" applyFont="1" applyFill="1" applyBorder="1" applyAlignment="1" applyProtection="1">
      <alignment horizontal="center" vertical="center" wrapText="1"/>
      <protection hidden="1"/>
    </xf>
    <xf numFmtId="0" fontId="1" fillId="13" borderId="101" xfId="0" applyFont="1" applyFill="1" applyBorder="1" applyAlignment="1" applyProtection="1">
      <alignment horizontal="center" vertical="center" wrapText="1"/>
      <protection hidden="1"/>
    </xf>
    <xf numFmtId="0" fontId="1" fillId="13" borderId="102" xfId="0" applyFont="1" applyFill="1" applyBorder="1" applyAlignment="1" applyProtection="1">
      <alignment horizontal="center" vertical="center" wrapText="1"/>
      <protection hidden="1"/>
    </xf>
    <xf numFmtId="0" fontId="0" fillId="0" borderId="2" xfId="0" quotePrefix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6" xfId="0" quotePrefix="1" applyBorder="1" applyAlignment="1">
      <alignment horizontal="left" vertical="center" wrapText="1"/>
    </xf>
    <xf numFmtId="0" fontId="0" fillId="0" borderId="37" xfId="0" quotePrefix="1" applyBorder="1" applyAlignment="1">
      <alignment horizontal="left" vertical="center" wrapText="1"/>
    </xf>
    <xf numFmtId="0" fontId="0" fillId="0" borderId="38" xfId="0" quotePrefix="1" applyBorder="1" applyAlignment="1">
      <alignment horizontal="left" vertical="center" wrapText="1"/>
    </xf>
    <xf numFmtId="0" fontId="0" fillId="0" borderId="41" xfId="0" quotePrefix="1" applyBorder="1" applyAlignment="1">
      <alignment horizontal="left" vertical="center" wrapText="1"/>
    </xf>
    <xf numFmtId="0" fontId="0" fillId="0" borderId="42" xfId="0" quotePrefix="1" applyBorder="1" applyAlignment="1">
      <alignment horizontal="left" vertical="center" wrapText="1"/>
    </xf>
    <xf numFmtId="0" fontId="0" fillId="0" borderId="43" xfId="0" quotePrefix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15" xfId="0" quotePrefix="1" applyBorder="1" applyAlignment="1">
      <alignment horizontal="left" vertical="center" wrapText="1"/>
    </xf>
    <xf numFmtId="0" fontId="0" fillId="0" borderId="11" xfId="0" quotePrefix="1" applyBorder="1" applyAlignment="1">
      <alignment horizontal="left" vertical="center" wrapText="1"/>
    </xf>
    <xf numFmtId="0" fontId="0" fillId="0" borderId="4" xfId="0" quotePrefix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16" xfId="0" applyNumberForma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4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ont>
        <color theme="0"/>
      </font>
      <fill>
        <patternFill>
          <fgColor auto="1"/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254A93"/>
      <color rgb="FF99FF33"/>
      <color rgb="FFFFFF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100"/>
              <a:t>Predpokladanné</a:t>
            </a:r>
            <a:r>
              <a:rPr lang="sk-SK" sz="1100" baseline="0"/>
              <a:t> ústálenie NO3</a:t>
            </a:r>
            <a:endParaRPr lang="sk-SK" sz="1100"/>
          </a:p>
        </c:rich>
      </c:tx>
      <c:layout>
        <c:manualLayout>
          <c:xMode val="edge"/>
          <c:yMode val="edge"/>
          <c:x val="0.26738675958188196"/>
          <c:y val="3.2258064516129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10028624470721"/>
          <c:y val="0.11982078853046596"/>
          <c:w val="0.6741940793986132"/>
          <c:h val="0.72102757316625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'hnojenie dlhodobo'!$B$1</c:f>
              <c:strCache>
                <c:ptCount val="1"/>
                <c:pt idx="0">
                  <c:v>Akvárium č.1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FF00"/>
                </a:solidFill>
              </a:ln>
            </c:spPr>
          </c:marker>
          <c:xVal>
            <c:numRef>
              <c:f>'hnojenie dlhodobo'!$A$31:$A$46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dlhodobo'!$B$31:$B$46</c:f>
              <c:numCache>
                <c:formatCode>0.00</c:formatCode>
                <c:ptCount val="16"/>
                <c:pt idx="0">
                  <c:v>10</c:v>
                </c:pt>
                <c:pt idx="1">
                  <c:v>5.5598364807695475</c:v>
                </c:pt>
                <c:pt idx="2">
                  <c:v>2.8816426120273686</c:v>
                </c:pt>
                <c:pt idx="3">
                  <c:v>1.2662240880241509</c:v>
                </c:pt>
                <c:pt idx="4">
                  <c:v>0.29184466084760707</c:v>
                </c:pt>
                <c:pt idx="5">
                  <c:v>-0.29587626348110341</c:v>
                </c:pt>
                <c:pt idx="6">
                  <c:v>-0.6503745987904832</c:v>
                </c:pt>
                <c:pt idx="7">
                  <c:v>-0.86419899151677626</c:v>
                </c:pt>
                <c:pt idx="8">
                  <c:v>-0.99317243474850869</c:v>
                </c:pt>
                <c:pt idx="9">
                  <c:v>-1.0709659401898701</c:v>
                </c:pt>
                <c:pt idx="10">
                  <c:v>-1.1178890069640257</c:v>
                </c:pt>
                <c:pt idx="11">
                  <c:v>-1.1461918091452619</c:v>
                </c:pt>
                <c:pt idx="12">
                  <c:v>-1.1632633406196593</c:v>
                </c:pt>
                <c:pt idx="13">
                  <c:v>-1.1735604548423115</c:v>
                </c:pt>
                <c:pt idx="14">
                  <c:v>-1.179771412627403</c:v>
                </c:pt>
                <c:pt idx="15">
                  <c:v>-1.1835177046247596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'hnojenie dlhodobo'!$C$1</c:f>
              <c:strCache>
                <c:ptCount val="1"/>
                <c:pt idx="0">
                  <c:v>Akvárium č.2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C000"/>
                </a:solidFill>
              </a:ln>
            </c:spPr>
          </c:marker>
          <c:xVal>
            <c:numRef>
              <c:f>'hnojenie dlhodobo'!$A$31:$A$46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dlhodobo'!$C$31:$C$46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'hnojenie dlhodobo'!$D$1</c:f>
              <c:strCache>
                <c:ptCount val="1"/>
                <c:pt idx="0">
                  <c:v>Akvárium č.3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'hnojenie dlhodobo'!$A$31:$A$46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dlhodobo'!$D$31:$D$46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7680"/>
        <c:axId val="202930944"/>
      </c:scatterChart>
      <c:valAx>
        <c:axId val="7447680"/>
        <c:scaling>
          <c:orientation val="minMax"/>
          <c:max val="15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pravidelných výmien vody</a:t>
                </a:r>
                <a:endParaRPr lang="sk-SK"/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202930944"/>
        <c:crosses val="autoZero"/>
        <c:crossBetween val="midCat"/>
        <c:majorUnit val="2"/>
        <c:minorUnit val="1"/>
      </c:valAx>
      <c:valAx>
        <c:axId val="2029309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sk-SK" sz="900"/>
                  <a:t>Koncentrácia (ppm)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7447680"/>
        <c:crosses val="autoZero"/>
        <c:crossBetween val="midCat"/>
      </c:valAx>
      <c:spPr>
        <a:solidFill>
          <a:schemeClr val="bg1">
            <a:lumMod val="65000"/>
          </a:schemeClr>
        </a:solidFill>
      </c:spPr>
    </c:plotArea>
    <c:legend>
      <c:legendPos val="r"/>
      <c:layout>
        <c:manualLayout>
          <c:xMode val="edge"/>
          <c:yMode val="edge"/>
          <c:x val="0.78065228959782051"/>
          <c:y val="0.44417764884652544"/>
          <c:w val="0.20560200593482519"/>
          <c:h val="0.19034645669291356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100"/>
              <a:t>Predpokladanné</a:t>
            </a:r>
            <a:r>
              <a:rPr lang="sk-SK" sz="1100" baseline="0"/>
              <a:t> ústálenie PO4</a:t>
            </a:r>
            <a:endParaRPr lang="sk-SK" sz="1100"/>
          </a:p>
        </c:rich>
      </c:tx>
      <c:layout>
        <c:manualLayout>
          <c:xMode val="edge"/>
          <c:yMode val="edge"/>
          <c:x val="0.26738675958188196"/>
          <c:y val="3.2258064516129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10028624470721"/>
          <c:y val="0.11982078853046596"/>
          <c:w val="0.6741940793986132"/>
          <c:h val="0.72102757316625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'hnojenie dlhodobo'!$B$1</c:f>
              <c:strCache>
                <c:ptCount val="1"/>
                <c:pt idx="0">
                  <c:v>Akvárium č.1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FF00"/>
                </a:solidFill>
              </a:ln>
            </c:spPr>
          </c:marker>
          <c:xVal>
            <c:numRef>
              <c:f>'hnojenie dlhodobo'!$F$31:$F$46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dlhodobo'!$G$31:$G$46</c:f>
              <c:numCache>
                <c:formatCode>0.00</c:formatCode>
                <c:ptCount val="16"/>
                <c:pt idx="0">
                  <c:v>0.25</c:v>
                </c:pt>
                <c:pt idx="1">
                  <c:v>0.79921482625082141</c:v>
                </c:pt>
                <c:pt idx="2">
                  <c:v>1.1304872611322694</c:v>
                </c:pt>
                <c:pt idx="3">
                  <c:v>1.3303023805845713</c:v>
                </c:pt>
                <c:pt idx="4">
                  <c:v>1.4508257859684994</c:v>
                </c:pt>
                <c:pt idx="5">
                  <c:v>1.5235224431842023</c:v>
                </c:pt>
                <c:pt idx="6">
                  <c:v>1.5673712205524037</c:v>
                </c:pt>
                <c:pt idx="7">
                  <c:v>1.5938196894411603</c:v>
                </c:pt>
                <c:pt idx="8">
                  <c:v>1.6097727341677117</c:v>
                </c:pt>
                <c:pt idx="9">
                  <c:v>1.6193952055900762</c:v>
                </c:pt>
                <c:pt idx="10">
                  <c:v>1.6251992359718199</c:v>
                </c:pt>
                <c:pt idx="11">
                  <c:v>1.6287000796941415</c:v>
                </c:pt>
                <c:pt idx="12">
                  <c:v>1.6308116997171289</c:v>
                </c:pt>
                <c:pt idx="13">
                  <c:v>1.6320853752865501</c:v>
                </c:pt>
                <c:pt idx="14">
                  <c:v>1.6328536240427087</c:v>
                </c:pt>
                <c:pt idx="15">
                  <c:v>1.6333170121813441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'hnojenie dlhodobo'!$C$1</c:f>
              <c:strCache>
                <c:ptCount val="1"/>
                <c:pt idx="0">
                  <c:v>Akvárium č.2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C000"/>
                </a:solidFill>
              </a:ln>
            </c:spPr>
          </c:marker>
          <c:xVal>
            <c:numRef>
              <c:f>'hnojenie dlhodobo'!$F$31:$F$46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dlhodobo'!$H$31:$H$46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'hnojenie dlhodobo'!$D$1</c:f>
              <c:strCache>
                <c:ptCount val="1"/>
                <c:pt idx="0">
                  <c:v>Akvárium č.3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'hnojenie dlhodobo'!$F$31:$F$46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dlhodobo'!$I$31:$I$46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9408"/>
        <c:axId val="7449984"/>
      </c:scatterChart>
      <c:valAx>
        <c:axId val="7449408"/>
        <c:scaling>
          <c:orientation val="minMax"/>
          <c:max val="15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pravidelných výmien vody</a:t>
                </a:r>
                <a:endParaRPr lang="sk-SK"/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7449984"/>
        <c:crosses val="autoZero"/>
        <c:crossBetween val="midCat"/>
        <c:majorUnit val="2"/>
        <c:minorUnit val="1"/>
      </c:valAx>
      <c:valAx>
        <c:axId val="74499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sk-SK" sz="900"/>
                  <a:t>Koncentrácia (ppm)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7449408"/>
        <c:crosses val="autoZero"/>
        <c:crossBetween val="midCat"/>
      </c:valAx>
      <c:spPr>
        <a:solidFill>
          <a:schemeClr val="bg1">
            <a:lumMod val="65000"/>
          </a:schemeClr>
        </a:solidFill>
      </c:spPr>
    </c:plotArea>
    <c:legend>
      <c:legendPos val="r"/>
      <c:layout>
        <c:manualLayout>
          <c:xMode val="edge"/>
          <c:yMode val="edge"/>
          <c:x val="0.78065228959782051"/>
          <c:y val="0.44417764884652544"/>
          <c:w val="0.20560200593482519"/>
          <c:h val="0.19034645669291356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100"/>
              <a:t>Predpokladanné</a:t>
            </a:r>
            <a:r>
              <a:rPr lang="sk-SK" sz="1100" baseline="0"/>
              <a:t> ústálenie Fe</a:t>
            </a:r>
            <a:endParaRPr lang="sk-SK" sz="1100"/>
          </a:p>
        </c:rich>
      </c:tx>
      <c:layout>
        <c:manualLayout>
          <c:xMode val="edge"/>
          <c:yMode val="edge"/>
          <c:x val="0.26738675958188196"/>
          <c:y val="3.2258064516129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10028624470721"/>
          <c:y val="0.11982078853046596"/>
          <c:w val="0.6741940793986132"/>
          <c:h val="0.72102757316625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'hnojenie dlhodobo'!$B$1</c:f>
              <c:strCache>
                <c:ptCount val="1"/>
                <c:pt idx="0">
                  <c:v>Akvárium č.1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FF00"/>
                </a:solidFill>
              </a:ln>
            </c:spPr>
          </c:marker>
          <c:xVal>
            <c:numRef>
              <c:f>'hnojenie dlhodobo'!$K$31:$K$46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dlhodobo'!$L$31:$L$46</c:f>
              <c:numCache>
                <c:formatCode>0.00</c:formatCode>
                <c:ptCount val="16"/>
                <c:pt idx="0">
                  <c:v>0.5</c:v>
                </c:pt>
                <c:pt idx="1">
                  <c:v>0.50267936507936506</c:v>
                </c:pt>
                <c:pt idx="2">
                  <c:v>0.50429549004787089</c:v>
                </c:pt>
                <c:pt idx="3">
                  <c:v>0.50527029558443015</c:v>
                </c:pt>
                <c:pt idx="4">
                  <c:v>0.50585827352711665</c:v>
                </c:pt>
                <c:pt idx="5">
                  <c:v>0.50621292688937203</c:v>
                </c:pt>
                <c:pt idx="6">
                  <c:v>0.50642684479041478</c:v>
                </c:pt>
                <c:pt idx="7">
                  <c:v>0.50655587463548835</c:v>
                </c:pt>
                <c:pt idx="8">
                  <c:v>0.50663370216108827</c:v>
                </c:pt>
                <c:pt idx="9">
                  <c:v>0.50668064574795801</c:v>
                </c:pt>
                <c:pt idx="10">
                  <c:v>0.50670896092733986</c:v>
                </c:pt>
                <c:pt idx="11">
                  <c:v>0.50672603992442711</c:v>
                </c:pt>
                <c:pt idx="12">
                  <c:v>0.50673634154171787</c:v>
                </c:pt>
                <c:pt idx="13">
                  <c:v>0.50674255521563927</c:v>
                </c:pt>
                <c:pt idx="14">
                  <c:v>0.50674630314594116</c:v>
                </c:pt>
                <c:pt idx="15">
                  <c:v>0.5067485638023137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'hnojenie dlhodobo'!$C$1</c:f>
              <c:strCache>
                <c:ptCount val="1"/>
                <c:pt idx="0">
                  <c:v>Akvárium č.2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rgbClr val="FFC000"/>
                </a:solidFill>
              </a:ln>
            </c:spPr>
          </c:marker>
          <c:xVal>
            <c:numRef>
              <c:f>'hnojenie dlhodobo'!$K$31:$K$46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dlhodobo'!$M$31:$M$46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'hnojenie dlhodobo'!$D$1</c:f>
              <c:strCache>
                <c:ptCount val="1"/>
                <c:pt idx="0">
                  <c:v>Akvárium č.3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x"/>
            <c:size val="3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'hnojenie dlhodobo'!$K$31:$K$46</c:f>
              <c:numCache>
                <c:formatCode>General</c:formatCode>
                <c:ptCount val="16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'hnojenie dlhodobo'!$N$31:$N$46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2288"/>
        <c:axId val="7452864"/>
      </c:scatterChart>
      <c:valAx>
        <c:axId val="7452288"/>
        <c:scaling>
          <c:orientation val="minMax"/>
          <c:max val="15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pravidelných výmien vody</a:t>
                </a:r>
                <a:endParaRPr lang="sk-SK"/>
              </a:p>
            </c:rich>
          </c:tx>
          <c:layout/>
          <c:overlay val="0"/>
        </c:title>
        <c:numFmt formatCode="0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7452864"/>
        <c:crosses val="autoZero"/>
        <c:crossBetween val="midCat"/>
        <c:majorUnit val="2"/>
        <c:minorUnit val="1"/>
      </c:valAx>
      <c:valAx>
        <c:axId val="74528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sk-SK" sz="900"/>
                  <a:t>Koncentrácia (ppm)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sk-SK"/>
          </a:p>
        </c:txPr>
        <c:crossAx val="7452288"/>
        <c:crosses val="autoZero"/>
        <c:crossBetween val="midCat"/>
      </c:valAx>
      <c:spPr>
        <a:solidFill>
          <a:schemeClr val="bg1">
            <a:lumMod val="65000"/>
          </a:schemeClr>
        </a:solidFill>
      </c:spPr>
    </c:plotArea>
    <c:legend>
      <c:legendPos val="r"/>
      <c:layout>
        <c:manualLayout>
          <c:xMode val="edge"/>
          <c:yMode val="edge"/>
          <c:x val="0.78065228959782051"/>
          <c:y val="0.44417764884652544"/>
          <c:w val="0.20560200593482519"/>
          <c:h val="0.19034645669291356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1104900</xdr:colOff>
      <xdr:row>27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8</xdr:col>
      <xdr:colOff>1104900</xdr:colOff>
      <xdr:row>27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1104900</xdr:colOff>
      <xdr:row>27</xdr:row>
      <xdr:rowOff>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quaticquotient.com/forum/showthread.php/11808-Easylife-Pro-fito" TargetMode="External"/><Relationship Id="rId13" Type="http://schemas.openxmlformats.org/officeDocument/2006/relationships/hyperlink" Target="http://sk.wikipedia.org/wiki/Relat%C3%ADvna_molekulov%C3%A1_hmotnos%C5%A5" TargetMode="External"/><Relationship Id="rId18" Type="http://schemas.openxmlformats.org/officeDocument/2006/relationships/hyperlink" Target="http://www.eurochem.cz/polavolt/dodatky/tabulky/rozp.htm" TargetMode="External"/><Relationship Id="rId26" Type="http://schemas.openxmlformats.org/officeDocument/2006/relationships/hyperlink" Target="http://www.plantprod.com/upload/File/2012PlantexProductGuide.pdf" TargetMode="External"/><Relationship Id="rId3" Type="http://schemas.openxmlformats.org/officeDocument/2006/relationships/hyperlink" Target="http://www.aquascapingworld.com/forum/water-chemistry/5544-question-about-trace-product.html" TargetMode="External"/><Relationship Id="rId21" Type="http://schemas.openxmlformats.org/officeDocument/2006/relationships/hyperlink" Target="http://www.smart-fertilizer.com/articles/iron" TargetMode="External"/><Relationship Id="rId7" Type="http://schemas.openxmlformats.org/officeDocument/2006/relationships/hyperlink" Target="http://calc.petalphile.com/mobile" TargetMode="External"/><Relationship Id="rId12" Type="http://schemas.openxmlformats.org/officeDocument/2006/relationships/hyperlink" Target="http://fins.actwin.com/aquatic-plants/month.9806/msg00467.html" TargetMode="External"/><Relationship Id="rId17" Type="http://schemas.openxmlformats.org/officeDocument/2006/relationships/hyperlink" Target="http://pmdd.mrp-cz.com/index.php?stranky=calculator" TargetMode="External"/><Relationship Id="rId25" Type="http://schemas.openxmlformats.org/officeDocument/2006/relationships/hyperlink" Target="http://www.haifachem.com/download/files/Multi-micro_Fe-EDTA_13.pdf" TargetMode="External"/><Relationship Id="rId2" Type="http://schemas.openxmlformats.org/officeDocument/2006/relationships/hyperlink" Target="http://www.physlink.com/Reference/PeriodicTable.cfm" TargetMode="External"/><Relationship Id="rId16" Type="http://schemas.openxmlformats.org/officeDocument/2006/relationships/hyperlink" Target="http://www.aquaticplantcentral.com/forumapc/seachem/67344-calculating-ppm-seachem-flourish.html" TargetMode="External"/><Relationship Id="rId20" Type="http://schemas.openxmlformats.org/officeDocument/2006/relationships/hyperlink" Target="http://periodictable.com/" TargetMode="External"/><Relationship Id="rId29" Type="http://schemas.openxmlformats.org/officeDocument/2006/relationships/hyperlink" Target="http://aquariumfertilizer.com/index.asp?Option1=inven&amp;EditU=2&amp;Regit=1&amp;ReturnOption1=cats&amp;ReturnEdit=2&amp;Returnitemname=&amp;ReturnShowItemStart=" TargetMode="External"/><Relationship Id="rId1" Type="http://schemas.openxmlformats.org/officeDocument/2006/relationships/hyperlink" Target="http://sk.wikipedia.org/wiki/At%C3%B3mov%C3%A1_hmotnos%C5%A5" TargetMode="External"/><Relationship Id="rId6" Type="http://schemas.openxmlformats.org/officeDocument/2006/relationships/hyperlink" Target="http://www.webqc.org/mmcalc.php" TargetMode="External"/><Relationship Id="rId11" Type="http://schemas.openxmlformats.org/officeDocument/2006/relationships/hyperlink" Target="http://www.akva.sk/ada-brighty-t11471.html" TargetMode="External"/><Relationship Id="rId24" Type="http://schemas.openxmlformats.org/officeDocument/2006/relationships/hyperlink" Target="http://www.solufeed.com/media/16652/solufeed%20fe%2011dtpa%20tds.pdf" TargetMode="External"/><Relationship Id="rId5" Type="http://schemas.openxmlformats.org/officeDocument/2006/relationships/hyperlink" Target="http://www.aquaticplantcentral.com/forumapc/fertilizing/23666-wet-thumb-forum-opinions-my-hygro.html" TargetMode="External"/><Relationship Id="rId15" Type="http://schemas.openxmlformats.org/officeDocument/2006/relationships/hyperlink" Target="http://www.fishfriend.com/fertfriend.html" TargetMode="External"/><Relationship Id="rId23" Type="http://schemas.openxmlformats.org/officeDocument/2006/relationships/hyperlink" Target="http://www.alibaba.com/product-gs/356997690/Fe_DTPA_7_.html" TargetMode="External"/><Relationship Id="rId28" Type="http://schemas.openxmlformats.org/officeDocument/2006/relationships/hyperlink" Target="http://www.aquatouch.com/freshwater%20ADA%20aquarium.html" TargetMode="External"/><Relationship Id="rId10" Type="http://schemas.openxmlformats.org/officeDocument/2006/relationships/hyperlink" Target="http://www.easylife.nl/en/freshwater-products/plant-nutrition/potassium" TargetMode="External"/><Relationship Id="rId19" Type="http://schemas.openxmlformats.org/officeDocument/2006/relationships/hyperlink" Target="http://www.ptable.com/?lang=sk" TargetMode="External"/><Relationship Id="rId4" Type="http://schemas.openxmlformats.org/officeDocument/2006/relationships/hyperlink" Target="http://www.easylife.nl/en/freshwater-products/plant-nutrition/nitro" TargetMode="External"/><Relationship Id="rId9" Type="http://schemas.openxmlformats.org/officeDocument/2006/relationships/hyperlink" Target="http://www.easylife.nl/en/freshwater-products/plant-nutrition/ferro" TargetMode="External"/><Relationship Id="rId14" Type="http://schemas.openxmlformats.org/officeDocument/2006/relationships/hyperlink" Target="http://sk.wikipedia.org/wiki/At%C3%B3mov%C3%A1_hmotnostn%C3%A1_jednotka" TargetMode="External"/><Relationship Id="rId22" Type="http://schemas.openxmlformats.org/officeDocument/2006/relationships/hyperlink" Target="http://chemicalland21.com/specialtychem/perchem/chelating%20agents.htm" TargetMode="External"/><Relationship Id="rId27" Type="http://schemas.openxmlformats.org/officeDocument/2006/relationships/hyperlink" Target="http://www.adana.com.sg/productsPage/ada_liquid_system.html" TargetMode="External"/><Relationship Id="rId30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0"/>
  <sheetViews>
    <sheetView topLeftCell="A22" workbookViewId="0">
      <selection activeCell="B27" sqref="B27:H42"/>
    </sheetView>
  </sheetViews>
  <sheetFormatPr defaultColWidth="9.140625" defaultRowHeight="15" x14ac:dyDescent="0.25"/>
  <cols>
    <col min="1" max="16384" width="9.140625" style="25"/>
  </cols>
  <sheetData>
    <row r="1" spans="1:9" x14ac:dyDescent="0.25">
      <c r="A1" s="36"/>
      <c r="B1" s="37"/>
      <c r="C1" s="37"/>
      <c r="D1" s="37"/>
      <c r="E1" s="37"/>
      <c r="F1" s="37"/>
      <c r="G1" s="37"/>
      <c r="H1" s="37"/>
      <c r="I1" s="39"/>
    </row>
    <row r="2" spans="1:9" x14ac:dyDescent="0.25">
      <c r="A2" s="40"/>
      <c r="I2" s="41"/>
    </row>
    <row r="3" spans="1:9" x14ac:dyDescent="0.25">
      <c r="A3" s="40"/>
      <c r="I3" s="41"/>
    </row>
    <row r="4" spans="1:9" x14ac:dyDescent="0.25">
      <c r="A4" s="40"/>
      <c r="I4" s="41"/>
    </row>
    <row r="5" spans="1:9" x14ac:dyDescent="0.25">
      <c r="A5" s="40"/>
      <c r="I5" s="41"/>
    </row>
    <row r="6" spans="1:9" x14ac:dyDescent="0.25">
      <c r="A6" s="40"/>
      <c r="I6" s="41"/>
    </row>
    <row r="7" spans="1:9" x14ac:dyDescent="0.25">
      <c r="A7" s="40"/>
      <c r="B7" s="371" t="s">
        <v>178</v>
      </c>
      <c r="C7" s="371"/>
      <c r="D7" s="371"/>
      <c r="E7" s="371"/>
      <c r="F7" s="371"/>
      <c r="G7" s="371"/>
      <c r="H7" s="371"/>
      <c r="I7" s="41"/>
    </row>
    <row r="8" spans="1:9" x14ac:dyDescent="0.25">
      <c r="A8" s="40"/>
      <c r="B8" s="371"/>
      <c r="C8" s="371"/>
      <c r="D8" s="371"/>
      <c r="E8" s="371"/>
      <c r="F8" s="371"/>
      <c r="G8" s="371"/>
      <c r="H8" s="371"/>
      <c r="I8" s="41"/>
    </row>
    <row r="9" spans="1:9" x14ac:dyDescent="0.25">
      <c r="A9" s="40"/>
      <c r="B9" s="371"/>
      <c r="C9" s="371"/>
      <c r="D9" s="371"/>
      <c r="E9" s="371"/>
      <c r="F9" s="371"/>
      <c r="G9" s="371"/>
      <c r="H9" s="371"/>
      <c r="I9" s="41"/>
    </row>
    <row r="10" spans="1:9" x14ac:dyDescent="0.25">
      <c r="A10" s="40"/>
      <c r="B10" s="371"/>
      <c r="C10" s="371"/>
      <c r="D10" s="371"/>
      <c r="E10" s="371"/>
      <c r="F10" s="371"/>
      <c r="G10" s="371"/>
      <c r="H10" s="371"/>
      <c r="I10" s="41"/>
    </row>
    <row r="11" spans="1:9" x14ac:dyDescent="0.25">
      <c r="A11" s="40"/>
      <c r="B11" s="371"/>
      <c r="C11" s="371"/>
      <c r="D11" s="371"/>
      <c r="E11" s="371"/>
      <c r="F11" s="371"/>
      <c r="G11" s="371"/>
      <c r="H11" s="371"/>
      <c r="I11" s="41"/>
    </row>
    <row r="12" spans="1:9" x14ac:dyDescent="0.25">
      <c r="A12" s="40"/>
      <c r="B12" s="371"/>
      <c r="C12" s="371"/>
      <c r="D12" s="371"/>
      <c r="E12" s="371"/>
      <c r="F12" s="371"/>
      <c r="G12" s="371"/>
      <c r="H12" s="371"/>
      <c r="I12" s="41"/>
    </row>
    <row r="13" spans="1:9" x14ac:dyDescent="0.25">
      <c r="A13" s="40"/>
      <c r="B13" s="371"/>
      <c r="C13" s="371"/>
      <c r="D13" s="371"/>
      <c r="E13" s="371"/>
      <c r="F13" s="371"/>
      <c r="G13" s="371"/>
      <c r="H13" s="371"/>
      <c r="I13" s="41"/>
    </row>
    <row r="14" spans="1:9" x14ac:dyDescent="0.25">
      <c r="A14" s="40"/>
      <c r="B14" s="371"/>
      <c r="C14" s="371"/>
      <c r="D14" s="371"/>
      <c r="E14" s="371"/>
      <c r="F14" s="371"/>
      <c r="G14" s="371"/>
      <c r="H14" s="371"/>
      <c r="I14" s="41"/>
    </row>
    <row r="15" spans="1:9" x14ac:dyDescent="0.25">
      <c r="A15" s="40"/>
      <c r="I15" s="41"/>
    </row>
    <row r="16" spans="1:9" x14ac:dyDescent="0.25">
      <c r="A16" s="40"/>
      <c r="I16" s="41"/>
    </row>
    <row r="17" spans="1:9" x14ac:dyDescent="0.25">
      <c r="A17" s="40"/>
      <c r="B17" s="373" t="s">
        <v>179</v>
      </c>
      <c r="C17" s="373"/>
      <c r="D17" s="373"/>
      <c r="E17" s="25" t="s">
        <v>371</v>
      </c>
      <c r="I17" s="41"/>
    </row>
    <row r="18" spans="1:9" x14ac:dyDescent="0.25">
      <c r="A18" s="40"/>
      <c r="I18" s="41"/>
    </row>
    <row r="19" spans="1:9" x14ac:dyDescent="0.25">
      <c r="A19" s="40"/>
      <c r="I19" s="41"/>
    </row>
    <row r="20" spans="1:9" x14ac:dyDescent="0.25">
      <c r="A20" s="40"/>
      <c r="I20" s="41"/>
    </row>
    <row r="21" spans="1:9" x14ac:dyDescent="0.25">
      <c r="A21" s="40"/>
      <c r="B21" s="375" t="s">
        <v>181</v>
      </c>
      <c r="C21" s="376"/>
      <c r="D21" s="376"/>
      <c r="E21" s="376"/>
      <c r="F21" s="376"/>
      <c r="G21" s="376"/>
      <c r="H21" s="376"/>
      <c r="I21" s="41"/>
    </row>
    <row r="22" spans="1:9" x14ac:dyDescent="0.25">
      <c r="A22" s="40"/>
      <c r="B22" s="374" t="s">
        <v>204</v>
      </c>
      <c r="C22" s="374"/>
      <c r="D22" s="374"/>
      <c r="E22" s="374"/>
      <c r="F22" s="374"/>
      <c r="G22" s="374"/>
      <c r="H22" s="374"/>
      <c r="I22" s="41"/>
    </row>
    <row r="23" spans="1:9" x14ac:dyDescent="0.25">
      <c r="A23" s="40"/>
      <c r="B23" s="374" t="s">
        <v>205</v>
      </c>
      <c r="C23" s="374"/>
      <c r="D23" s="374"/>
      <c r="E23" s="374"/>
      <c r="F23" s="374"/>
      <c r="G23" s="374"/>
      <c r="H23" s="374"/>
      <c r="I23" s="41"/>
    </row>
    <row r="24" spans="1:9" x14ac:dyDescent="0.25">
      <c r="A24" s="40"/>
      <c r="B24" s="374" t="s">
        <v>342</v>
      </c>
      <c r="C24" s="374"/>
      <c r="D24" s="374"/>
      <c r="E24" s="374"/>
      <c r="F24" s="374"/>
      <c r="G24" s="374"/>
      <c r="H24" s="374"/>
      <c r="I24" s="41"/>
    </row>
    <row r="25" spans="1:9" x14ac:dyDescent="0.25">
      <c r="A25" s="40"/>
      <c r="I25" s="41"/>
    </row>
    <row r="26" spans="1:9" x14ac:dyDescent="0.25">
      <c r="A26" s="40"/>
      <c r="B26" s="377" t="s">
        <v>213</v>
      </c>
      <c r="C26" s="378"/>
      <c r="D26" s="378"/>
      <c r="E26" s="378"/>
      <c r="F26" s="378"/>
      <c r="G26" s="378"/>
      <c r="H26" s="379"/>
      <c r="I26" s="41"/>
    </row>
    <row r="27" spans="1:9" x14ac:dyDescent="0.25">
      <c r="A27" s="40"/>
      <c r="B27" s="380"/>
      <c r="C27" s="381"/>
      <c r="D27" s="381"/>
      <c r="E27" s="381"/>
      <c r="F27" s="381"/>
      <c r="G27" s="381"/>
      <c r="H27" s="382"/>
      <c r="I27" s="41"/>
    </row>
    <row r="28" spans="1:9" x14ac:dyDescent="0.25">
      <c r="A28" s="40"/>
      <c r="B28" s="383"/>
      <c r="C28" s="384"/>
      <c r="D28" s="384"/>
      <c r="E28" s="384"/>
      <c r="F28" s="384"/>
      <c r="G28" s="384"/>
      <c r="H28" s="385"/>
      <c r="I28" s="41"/>
    </row>
    <row r="29" spans="1:9" x14ac:dyDescent="0.25">
      <c r="A29" s="40"/>
      <c r="B29" s="383"/>
      <c r="C29" s="384"/>
      <c r="D29" s="384"/>
      <c r="E29" s="384"/>
      <c r="F29" s="384"/>
      <c r="G29" s="384"/>
      <c r="H29" s="385"/>
      <c r="I29" s="41"/>
    </row>
    <row r="30" spans="1:9" x14ac:dyDescent="0.25">
      <c r="A30" s="40"/>
      <c r="B30" s="383"/>
      <c r="C30" s="384"/>
      <c r="D30" s="384"/>
      <c r="E30" s="384"/>
      <c r="F30" s="384"/>
      <c r="G30" s="384"/>
      <c r="H30" s="385"/>
      <c r="I30" s="41"/>
    </row>
    <row r="31" spans="1:9" x14ac:dyDescent="0.25">
      <c r="A31" s="40"/>
      <c r="B31" s="383"/>
      <c r="C31" s="384"/>
      <c r="D31" s="384"/>
      <c r="E31" s="384"/>
      <c r="F31" s="384"/>
      <c r="G31" s="384"/>
      <c r="H31" s="385"/>
      <c r="I31" s="41"/>
    </row>
    <row r="32" spans="1:9" x14ac:dyDescent="0.25">
      <c r="A32" s="40"/>
      <c r="B32" s="383"/>
      <c r="C32" s="384"/>
      <c r="D32" s="384"/>
      <c r="E32" s="384"/>
      <c r="F32" s="384"/>
      <c r="G32" s="384"/>
      <c r="H32" s="385"/>
      <c r="I32" s="41"/>
    </row>
    <row r="33" spans="1:9" x14ac:dyDescent="0.25">
      <c r="A33" s="40"/>
      <c r="B33" s="383"/>
      <c r="C33" s="384"/>
      <c r="D33" s="384"/>
      <c r="E33" s="384"/>
      <c r="F33" s="384"/>
      <c r="G33" s="384"/>
      <c r="H33" s="385"/>
      <c r="I33" s="41"/>
    </row>
    <row r="34" spans="1:9" x14ac:dyDescent="0.25">
      <c r="A34" s="40"/>
      <c r="B34" s="383"/>
      <c r="C34" s="384"/>
      <c r="D34" s="384"/>
      <c r="E34" s="384"/>
      <c r="F34" s="384"/>
      <c r="G34" s="384"/>
      <c r="H34" s="385"/>
      <c r="I34" s="41"/>
    </row>
    <row r="35" spans="1:9" x14ac:dyDescent="0.25">
      <c r="A35" s="40"/>
      <c r="B35" s="383"/>
      <c r="C35" s="384"/>
      <c r="D35" s="384"/>
      <c r="E35" s="384"/>
      <c r="F35" s="384"/>
      <c r="G35" s="384"/>
      <c r="H35" s="385"/>
      <c r="I35" s="41"/>
    </row>
    <row r="36" spans="1:9" x14ac:dyDescent="0.25">
      <c r="A36" s="40"/>
      <c r="B36" s="383"/>
      <c r="C36" s="384"/>
      <c r="D36" s="384"/>
      <c r="E36" s="384"/>
      <c r="F36" s="384"/>
      <c r="G36" s="384"/>
      <c r="H36" s="385"/>
      <c r="I36" s="41"/>
    </row>
    <row r="37" spans="1:9" x14ac:dyDescent="0.25">
      <c r="A37" s="40"/>
      <c r="B37" s="383"/>
      <c r="C37" s="384"/>
      <c r="D37" s="384"/>
      <c r="E37" s="384"/>
      <c r="F37" s="384"/>
      <c r="G37" s="384"/>
      <c r="H37" s="385"/>
      <c r="I37" s="41"/>
    </row>
    <row r="38" spans="1:9" x14ac:dyDescent="0.25">
      <c r="A38" s="40"/>
      <c r="B38" s="383"/>
      <c r="C38" s="384"/>
      <c r="D38" s="384"/>
      <c r="E38" s="384"/>
      <c r="F38" s="384"/>
      <c r="G38" s="384"/>
      <c r="H38" s="385"/>
      <c r="I38" s="41"/>
    </row>
    <row r="39" spans="1:9" x14ac:dyDescent="0.25">
      <c r="A39" s="40"/>
      <c r="B39" s="383"/>
      <c r="C39" s="384"/>
      <c r="D39" s="384"/>
      <c r="E39" s="384"/>
      <c r="F39" s="384"/>
      <c r="G39" s="384"/>
      <c r="H39" s="385"/>
      <c r="I39" s="41"/>
    </row>
    <row r="40" spans="1:9" x14ac:dyDescent="0.25">
      <c r="A40" s="40"/>
      <c r="B40" s="383"/>
      <c r="C40" s="384"/>
      <c r="D40" s="384"/>
      <c r="E40" s="384"/>
      <c r="F40" s="384"/>
      <c r="G40" s="384"/>
      <c r="H40" s="385"/>
      <c r="I40" s="41"/>
    </row>
    <row r="41" spans="1:9" x14ac:dyDescent="0.25">
      <c r="A41" s="40"/>
      <c r="B41" s="383"/>
      <c r="C41" s="384"/>
      <c r="D41" s="384"/>
      <c r="E41" s="384"/>
      <c r="F41" s="384"/>
      <c r="G41" s="384"/>
      <c r="H41" s="385"/>
      <c r="I41" s="41"/>
    </row>
    <row r="42" spans="1:9" x14ac:dyDescent="0.25">
      <c r="A42" s="40"/>
      <c r="B42" s="386"/>
      <c r="C42" s="387"/>
      <c r="D42" s="387"/>
      <c r="E42" s="387"/>
      <c r="F42" s="387"/>
      <c r="G42" s="387"/>
      <c r="H42" s="388"/>
      <c r="I42" s="41"/>
    </row>
    <row r="43" spans="1:9" x14ac:dyDescent="0.25">
      <c r="A43" s="40"/>
      <c r="I43" s="41"/>
    </row>
    <row r="44" spans="1:9" x14ac:dyDescent="0.25">
      <c r="A44" s="40"/>
      <c r="F44" s="372" t="s">
        <v>180</v>
      </c>
      <c r="G44" s="373"/>
      <c r="H44" s="373"/>
      <c r="I44" s="41"/>
    </row>
    <row r="45" spans="1:9" x14ac:dyDescent="0.25">
      <c r="A45" s="40"/>
      <c r="I45" s="41"/>
    </row>
    <row r="46" spans="1:9" x14ac:dyDescent="0.25">
      <c r="A46" s="40"/>
      <c r="I46" s="41"/>
    </row>
    <row r="47" spans="1:9" x14ac:dyDescent="0.25">
      <c r="A47" s="40"/>
      <c r="I47" s="41"/>
    </row>
    <row r="48" spans="1:9" x14ac:dyDescent="0.25">
      <c r="A48" s="40"/>
      <c r="I48" s="41"/>
    </row>
    <row r="49" spans="1:9" x14ac:dyDescent="0.25">
      <c r="A49" s="40"/>
      <c r="I49" s="41"/>
    </row>
    <row r="50" spans="1:9" x14ac:dyDescent="0.25">
      <c r="A50" s="42"/>
      <c r="B50" s="38"/>
      <c r="C50" s="38"/>
      <c r="D50" s="38"/>
      <c r="E50" s="38"/>
      <c r="F50" s="38"/>
      <c r="G50" s="38"/>
      <c r="H50" s="38"/>
      <c r="I50" s="43"/>
    </row>
  </sheetData>
  <sheetProtection password="9D4F" sheet="1" objects="1" scenarios="1"/>
  <mergeCells count="9">
    <mergeCell ref="B7:H14"/>
    <mergeCell ref="F44:H44"/>
    <mergeCell ref="B17:D17"/>
    <mergeCell ref="B22:H22"/>
    <mergeCell ref="B21:H21"/>
    <mergeCell ref="B23:H23"/>
    <mergeCell ref="B26:H26"/>
    <mergeCell ref="B27:H42"/>
    <mergeCell ref="B24:H24"/>
  </mergeCells>
  <pageMargins left="0.7" right="0.7" top="0.75" bottom="0.75" header="0.3" footer="0.3"/>
  <pageSetup paperSize="9" orientation="portrait" horizontalDpi="300" verticalDpi="3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AI66"/>
  <sheetViews>
    <sheetView topLeftCell="G1" zoomScale="85" zoomScaleNormal="85" workbookViewId="0">
      <selection activeCell="V3" sqref="V3"/>
    </sheetView>
  </sheetViews>
  <sheetFormatPr defaultColWidth="9.140625" defaultRowHeight="15" x14ac:dyDescent="0.25"/>
  <cols>
    <col min="1" max="1" width="20.5703125" style="57" customWidth="1"/>
    <col min="2" max="2" width="5.85546875" style="57" customWidth="1"/>
    <col min="3" max="3" width="4.140625" style="57" customWidth="1"/>
    <col min="4" max="4" width="13.7109375" style="57" customWidth="1"/>
    <col min="5" max="5" width="13.28515625" style="57" customWidth="1"/>
    <col min="6" max="6" width="17.85546875" style="57" customWidth="1"/>
    <col min="7" max="7" width="13.5703125" style="57" customWidth="1"/>
    <col min="8" max="8" width="1.5703125" style="57" customWidth="1"/>
    <col min="9" max="9" width="12.7109375" style="57" customWidth="1"/>
    <col min="10" max="10" width="3.42578125" style="57" customWidth="1"/>
    <col min="11" max="11" width="12.42578125" style="57" customWidth="1"/>
    <col min="12" max="12" width="10" style="59" customWidth="1"/>
    <col min="13" max="13" width="0.85546875" style="59" customWidth="1"/>
    <col min="14" max="14" width="13.5703125" style="59" customWidth="1"/>
    <col min="15" max="15" width="1.42578125" style="182" customWidth="1"/>
    <col min="16" max="16" width="13.28515625" style="59" customWidth="1"/>
    <col min="17" max="17" width="8.42578125" style="182" customWidth="1"/>
    <col min="18" max="18" width="3.42578125" style="182" customWidth="1"/>
    <col min="19" max="19" width="6.7109375" style="59" customWidth="1"/>
    <col min="20" max="20" width="7.85546875" style="59" customWidth="1"/>
    <col min="21" max="21" width="12.28515625" style="59" customWidth="1"/>
    <col min="22" max="22" width="7.42578125" style="59" customWidth="1"/>
    <col min="23" max="23" width="4.85546875" style="59" customWidth="1"/>
    <col min="24" max="24" width="2.140625" style="59" customWidth="1"/>
    <col min="25" max="25" width="14.42578125" style="59" customWidth="1"/>
    <col min="26" max="26" width="10.5703125" style="59" customWidth="1"/>
    <col min="27" max="27" width="8.42578125" style="59" customWidth="1"/>
    <col min="28" max="28" width="1.7109375" style="59" customWidth="1"/>
    <col min="29" max="29" width="27.42578125" style="57" customWidth="1"/>
    <col min="30" max="30" width="13.85546875" style="57" customWidth="1"/>
    <col min="31" max="32" width="7.42578125" style="57" customWidth="1"/>
    <col min="33" max="33" width="1.28515625" style="57" customWidth="1"/>
    <col min="34" max="34" width="11.7109375" style="57" bestFit="1" customWidth="1"/>
    <col min="35" max="35" width="11.140625" style="57" customWidth="1"/>
    <col min="36" max="36" width="17.5703125" style="57" customWidth="1"/>
    <col min="37" max="37" width="12.5703125" style="57" customWidth="1"/>
    <col min="38" max="38" width="16.42578125" style="57" bestFit="1" customWidth="1"/>
    <col min="39" max="16384" width="9.140625" style="57"/>
  </cols>
  <sheetData>
    <row r="1" spans="1:35" ht="5.25" customHeight="1" thickBot="1" x14ac:dyDescent="0.3">
      <c r="A1" s="56"/>
      <c r="B1" s="56"/>
      <c r="C1" s="56"/>
      <c r="D1" s="56"/>
      <c r="E1" s="56"/>
      <c r="F1" s="56"/>
      <c r="G1" s="56"/>
      <c r="J1" s="58"/>
      <c r="L1" s="57"/>
      <c r="M1" s="102"/>
      <c r="N1" s="102"/>
      <c r="O1" s="181"/>
      <c r="S1" s="57"/>
      <c r="T1" s="57"/>
      <c r="U1" s="56"/>
      <c r="V1" s="56"/>
      <c r="W1" s="56"/>
      <c r="X1" s="57"/>
      <c r="Y1" s="56"/>
      <c r="Z1" s="56"/>
      <c r="AA1" s="56"/>
      <c r="AB1" s="57"/>
      <c r="AC1" s="56"/>
      <c r="AD1" s="56"/>
      <c r="AE1" s="56"/>
      <c r="AF1" s="56"/>
      <c r="AH1" s="56"/>
    </row>
    <row r="2" spans="1:35" s="62" customFormat="1" ht="54.75" customHeight="1" thickBot="1" x14ac:dyDescent="0.3">
      <c r="A2" s="506" t="s">
        <v>202</v>
      </c>
      <c r="B2" s="507"/>
      <c r="C2" s="507"/>
      <c r="D2" s="203" t="s">
        <v>36</v>
      </c>
      <c r="E2" s="203" t="s">
        <v>40</v>
      </c>
      <c r="F2" s="203" t="s">
        <v>57</v>
      </c>
      <c r="G2" s="60" t="s">
        <v>118</v>
      </c>
      <c r="H2" s="61"/>
      <c r="J2" s="63"/>
      <c r="K2" s="107" t="s">
        <v>203</v>
      </c>
      <c r="L2" s="107" t="s">
        <v>167</v>
      </c>
      <c r="M2" s="102"/>
      <c r="N2" s="201" t="s">
        <v>217</v>
      </c>
      <c r="O2" s="61"/>
      <c r="P2" s="505" t="s">
        <v>25</v>
      </c>
      <c r="Q2" s="505"/>
      <c r="R2" s="505"/>
      <c r="S2" s="202" t="s">
        <v>43</v>
      </c>
      <c r="U2" s="500" t="s">
        <v>224</v>
      </c>
      <c r="V2" s="500"/>
      <c r="W2" s="500"/>
      <c r="X2" s="194"/>
      <c r="Y2" s="518" t="s">
        <v>268</v>
      </c>
      <c r="Z2" s="519"/>
      <c r="AA2" s="520"/>
      <c r="AB2" s="194"/>
      <c r="AC2" s="521" t="s">
        <v>289</v>
      </c>
      <c r="AD2" s="522"/>
      <c r="AE2" s="522"/>
      <c r="AF2" s="523"/>
      <c r="AG2" s="194"/>
      <c r="AH2" s="201" t="s">
        <v>291</v>
      </c>
      <c r="AI2" s="61"/>
    </row>
    <row r="3" spans="1:35" ht="15" customHeight="1" x14ac:dyDescent="0.25">
      <c r="A3" s="508" t="s">
        <v>0</v>
      </c>
      <c r="B3" s="508"/>
      <c r="C3" s="508"/>
      <c r="D3" s="64">
        <f>L3+L4+L5*4+7*(L6*2+L5)</f>
        <v>246.46956</v>
      </c>
      <c r="E3" s="65">
        <f t="shared" ref="E3:E23" si="0">D3*$Q$21</f>
        <v>4.0927226296247597E-25</v>
      </c>
      <c r="F3" s="66">
        <v>26</v>
      </c>
      <c r="G3" s="64">
        <v>117.4</v>
      </c>
      <c r="H3" s="67"/>
      <c r="J3" s="58"/>
      <c r="K3" s="68" t="s">
        <v>11</v>
      </c>
      <c r="L3" s="69">
        <v>24.305</v>
      </c>
      <c r="M3" s="103"/>
      <c r="N3" s="105"/>
      <c r="O3" s="181"/>
      <c r="P3" s="70" t="s">
        <v>17</v>
      </c>
      <c r="Q3" s="70">
        <v>6.53</v>
      </c>
      <c r="R3" s="70" t="s">
        <v>35</v>
      </c>
      <c r="S3" s="70">
        <v>7</v>
      </c>
      <c r="T3" s="57"/>
      <c r="U3" s="183" t="s">
        <v>229</v>
      </c>
      <c r="V3" s="154">
        <v>1200</v>
      </c>
      <c r="W3" s="154" t="s">
        <v>228</v>
      </c>
      <c r="X3" s="73"/>
      <c r="Y3" s="131" t="s">
        <v>273</v>
      </c>
      <c r="Z3" s="131">
        <v>80</v>
      </c>
      <c r="AA3" s="131" t="s">
        <v>228</v>
      </c>
      <c r="AB3" s="73"/>
      <c r="AC3" s="212" t="s">
        <v>281</v>
      </c>
      <c r="AD3" s="213" t="s">
        <v>6</v>
      </c>
      <c r="AE3" s="213">
        <f>0.2*10</f>
        <v>2</v>
      </c>
      <c r="AF3" s="213" t="s">
        <v>228</v>
      </c>
      <c r="AG3" s="73"/>
      <c r="AH3" s="512">
        <f>SUM(AE3:AE8)</f>
        <v>897.2</v>
      </c>
      <c r="AI3" s="67"/>
    </row>
    <row r="4" spans="1:35" ht="15" customHeight="1" x14ac:dyDescent="0.25">
      <c r="A4" s="501" t="s">
        <v>1</v>
      </c>
      <c r="B4" s="501"/>
      <c r="C4" s="501"/>
      <c r="D4" s="70">
        <f>L3+L4+L5*4</f>
        <v>120.3626</v>
      </c>
      <c r="E4" s="71">
        <f t="shared" si="0"/>
        <v>1.9986676520235321E-25</v>
      </c>
      <c r="F4" s="72"/>
      <c r="G4" s="70">
        <f>G3*(D4/D3)</f>
        <v>57.33190435362485</v>
      </c>
      <c r="H4" s="67"/>
      <c r="J4" s="58"/>
      <c r="K4" s="68" t="s">
        <v>12</v>
      </c>
      <c r="L4" s="69">
        <v>32.06</v>
      </c>
      <c r="M4" s="103"/>
      <c r="N4" s="105"/>
      <c r="O4" s="181"/>
      <c r="P4" s="70" t="s">
        <v>18</v>
      </c>
      <c r="Q4" s="70">
        <v>1.18</v>
      </c>
      <c r="R4" s="70" t="s">
        <v>35</v>
      </c>
      <c r="S4" s="70">
        <v>0.8</v>
      </c>
      <c r="T4" s="57"/>
      <c r="U4" s="183" t="s">
        <v>15</v>
      </c>
      <c r="V4" s="154">
        <v>7000</v>
      </c>
      <c r="W4" s="154" t="s">
        <v>228</v>
      </c>
      <c r="X4" s="73"/>
      <c r="Y4" s="131" t="s">
        <v>54</v>
      </c>
      <c r="Z4" s="131"/>
      <c r="AA4" s="131" t="s">
        <v>228</v>
      </c>
      <c r="AB4" s="73"/>
      <c r="AC4" s="183" t="s">
        <v>282</v>
      </c>
      <c r="AD4" s="154" t="s">
        <v>277</v>
      </c>
      <c r="AE4" s="154">
        <f>89*10</f>
        <v>890</v>
      </c>
      <c r="AF4" s="154" t="s">
        <v>228</v>
      </c>
      <c r="AG4" s="73"/>
      <c r="AH4" s="512"/>
      <c r="AI4" s="67"/>
    </row>
    <row r="5" spans="1:35" ht="15" customHeight="1" x14ac:dyDescent="0.25">
      <c r="A5" s="501" t="s">
        <v>190</v>
      </c>
      <c r="B5" s="501"/>
      <c r="C5" s="501"/>
      <c r="D5" s="70">
        <f>L18+L29+2*L34</f>
        <v>172.16616000000002</v>
      </c>
      <c r="E5" s="71">
        <f t="shared" si="0"/>
        <v>2.8588858562801718E-25</v>
      </c>
      <c r="F5" s="72"/>
      <c r="G5" s="70">
        <f>(D5/D6)*G6</f>
        <v>0.32881334199136747</v>
      </c>
      <c r="H5" s="67"/>
      <c r="J5" s="58"/>
      <c r="K5" s="68" t="s">
        <v>13</v>
      </c>
      <c r="L5" s="69">
        <v>15.9994</v>
      </c>
      <c r="M5" s="103"/>
      <c r="N5" s="105"/>
      <c r="O5" s="181"/>
      <c r="P5" s="70" t="s">
        <v>24</v>
      </c>
      <c r="Q5" s="70">
        <v>1.87</v>
      </c>
      <c r="R5" s="70" t="s">
        <v>35</v>
      </c>
      <c r="S5" s="70">
        <v>2</v>
      </c>
      <c r="T5" s="57"/>
      <c r="U5" s="183" t="s">
        <v>11</v>
      </c>
      <c r="V5" s="154">
        <v>900</v>
      </c>
      <c r="W5" s="154" t="s">
        <v>228</v>
      </c>
      <c r="X5" s="73"/>
      <c r="Y5" s="131" t="s">
        <v>55</v>
      </c>
      <c r="Z5" s="131"/>
      <c r="AA5" s="131" t="s">
        <v>228</v>
      </c>
      <c r="AB5" s="73"/>
      <c r="AC5" s="183" t="s">
        <v>283</v>
      </c>
      <c r="AD5" s="154" t="s">
        <v>2</v>
      </c>
      <c r="AE5" s="154">
        <f>0.1*10</f>
        <v>1</v>
      </c>
      <c r="AF5" s="154" t="s">
        <v>228</v>
      </c>
      <c r="AG5" s="73"/>
      <c r="AH5" s="512"/>
      <c r="AI5" s="67"/>
    </row>
    <row r="6" spans="1:35" ht="15" customHeight="1" x14ac:dyDescent="0.25">
      <c r="A6" s="501" t="s">
        <v>191</v>
      </c>
      <c r="B6" s="501"/>
      <c r="C6" s="501"/>
      <c r="D6" s="70">
        <f>L18+L29</f>
        <v>136.13560000000001</v>
      </c>
      <c r="E6" s="71">
        <f t="shared" si="0"/>
        <v>2.2605844341083925E-25</v>
      </c>
      <c r="F6" s="72"/>
      <c r="G6" s="70">
        <v>0.26</v>
      </c>
      <c r="H6" s="67"/>
      <c r="J6" s="58"/>
      <c r="K6" s="68" t="s">
        <v>14</v>
      </c>
      <c r="L6" s="69">
        <v>1.0079400000000001</v>
      </c>
      <c r="M6" s="103"/>
      <c r="N6" s="105"/>
      <c r="O6" s="181"/>
      <c r="P6" s="70" t="s">
        <v>34</v>
      </c>
      <c r="Q6" s="70">
        <v>0.05</v>
      </c>
      <c r="R6" s="70" t="s">
        <v>35</v>
      </c>
      <c r="S6" s="70">
        <v>0.06</v>
      </c>
      <c r="T6" s="57"/>
      <c r="U6" s="183" t="s">
        <v>24</v>
      </c>
      <c r="V6" s="154">
        <v>400</v>
      </c>
      <c r="W6" s="154" t="s">
        <v>228</v>
      </c>
      <c r="X6" s="73"/>
      <c r="Y6" s="131" t="s">
        <v>51</v>
      </c>
      <c r="Z6" s="131"/>
      <c r="AA6" s="131" t="s">
        <v>228</v>
      </c>
      <c r="AB6" s="73"/>
      <c r="AC6" s="183" t="s">
        <v>284</v>
      </c>
      <c r="AD6" s="154" t="s">
        <v>276</v>
      </c>
      <c r="AE6" s="154">
        <f>0.2*10</f>
        <v>2</v>
      </c>
      <c r="AF6" s="154" t="s">
        <v>228</v>
      </c>
      <c r="AG6" s="73"/>
      <c r="AH6" s="512"/>
      <c r="AI6" s="67"/>
    </row>
    <row r="7" spans="1:35" ht="15" customHeight="1" x14ac:dyDescent="0.25">
      <c r="A7" s="501" t="s">
        <v>2</v>
      </c>
      <c r="B7" s="501"/>
      <c r="C7" s="501"/>
      <c r="D7" s="70">
        <f>L7+L8</f>
        <v>74.551000000000002</v>
      </c>
      <c r="E7" s="71">
        <f t="shared" si="0"/>
        <v>1.2379482673688201E-25</v>
      </c>
      <c r="F7" s="72">
        <v>26</v>
      </c>
      <c r="G7" s="70">
        <v>34</v>
      </c>
      <c r="H7" s="67"/>
      <c r="J7" s="58"/>
      <c r="K7" s="68" t="s">
        <v>15</v>
      </c>
      <c r="L7" s="69">
        <v>39.098300000000002</v>
      </c>
      <c r="M7" s="103"/>
      <c r="N7" s="105"/>
      <c r="O7" s="181"/>
      <c r="P7" s="70" t="s">
        <v>21</v>
      </c>
      <c r="Q7" s="70">
        <v>0.37</v>
      </c>
      <c r="R7" s="70" t="s">
        <v>35</v>
      </c>
      <c r="S7" s="70">
        <v>0.4</v>
      </c>
      <c r="T7" s="57"/>
      <c r="U7" s="183" t="s">
        <v>230</v>
      </c>
      <c r="V7" s="154">
        <v>200</v>
      </c>
      <c r="W7" s="154" t="s">
        <v>228</v>
      </c>
      <c r="X7" s="73"/>
      <c r="Y7" s="131" t="s">
        <v>17</v>
      </c>
      <c r="Z7" s="131">
        <v>190</v>
      </c>
      <c r="AA7" s="131" t="s">
        <v>228</v>
      </c>
      <c r="AB7" s="73"/>
      <c r="AC7" s="183" t="s">
        <v>285</v>
      </c>
      <c r="AD7" s="154" t="s">
        <v>290</v>
      </c>
      <c r="AE7" s="154">
        <f>0.06*10</f>
        <v>0.6</v>
      </c>
      <c r="AF7" s="154" t="s">
        <v>228</v>
      </c>
      <c r="AG7" s="73"/>
      <c r="AH7" s="512"/>
      <c r="AI7" s="67"/>
    </row>
    <row r="8" spans="1:35" ht="15" customHeight="1" x14ac:dyDescent="0.25">
      <c r="A8" s="501" t="s">
        <v>3</v>
      </c>
      <c r="B8" s="501"/>
      <c r="C8" s="501"/>
      <c r="D8" s="70">
        <f>L7*2+L4+L5*4</f>
        <v>174.2542</v>
      </c>
      <c r="E8" s="71">
        <f t="shared" si="0"/>
        <v>2.8935585702638441E-25</v>
      </c>
      <c r="F8" s="72">
        <v>10.029999999999999</v>
      </c>
      <c r="G8" s="70">
        <v>11.11</v>
      </c>
      <c r="H8" s="67"/>
      <c r="J8" s="58"/>
      <c r="K8" s="68" t="s">
        <v>16</v>
      </c>
      <c r="L8" s="69">
        <v>35.4527</v>
      </c>
      <c r="M8" s="103"/>
      <c r="N8" s="105"/>
      <c r="O8" s="181"/>
      <c r="P8" s="70" t="s">
        <v>20</v>
      </c>
      <c r="Q8" s="70">
        <v>0.09</v>
      </c>
      <c r="R8" s="70" t="s">
        <v>35</v>
      </c>
      <c r="S8" s="70">
        <v>0.1</v>
      </c>
      <c r="T8" s="57"/>
      <c r="U8" s="183" t="s">
        <v>18</v>
      </c>
      <c r="V8" s="154">
        <v>80</v>
      </c>
      <c r="W8" s="154" t="s">
        <v>228</v>
      </c>
      <c r="X8" s="73"/>
      <c r="Y8" s="195" t="s">
        <v>23</v>
      </c>
      <c r="Z8" s="195">
        <f>($L$15/$L$31)*Z4+($L$15/$L$32)*Z5</f>
        <v>0</v>
      </c>
      <c r="AA8" s="195" t="s">
        <v>228</v>
      </c>
      <c r="AB8" s="73"/>
      <c r="AC8" s="183" t="s">
        <v>286</v>
      </c>
      <c r="AD8" s="154" t="s">
        <v>275</v>
      </c>
      <c r="AE8" s="154">
        <f>0.16*10</f>
        <v>1.6</v>
      </c>
      <c r="AF8" s="154" t="s">
        <v>228</v>
      </c>
      <c r="AG8" s="73"/>
      <c r="AH8" s="512"/>
      <c r="AI8" s="67"/>
    </row>
    <row r="9" spans="1:35" ht="15" customHeight="1" x14ac:dyDescent="0.25">
      <c r="A9" s="501" t="s">
        <v>4</v>
      </c>
      <c r="B9" s="501"/>
      <c r="C9" s="501"/>
      <c r="D9" s="70">
        <f>L7+L15+L5*3</f>
        <v>101.1032</v>
      </c>
      <c r="E9" s="71">
        <f t="shared" si="0"/>
        <v>1.6788578458430241E-25</v>
      </c>
      <c r="F9" s="72">
        <v>24.1</v>
      </c>
      <c r="G9" s="70">
        <v>31.6</v>
      </c>
      <c r="H9" s="67"/>
      <c r="J9" s="58"/>
      <c r="K9" s="68" t="s">
        <v>17</v>
      </c>
      <c r="L9" s="69">
        <v>55.844999999999999</v>
      </c>
      <c r="M9" s="103"/>
      <c r="N9" s="105"/>
      <c r="O9" s="181"/>
      <c r="P9" s="70" t="s">
        <v>11</v>
      </c>
      <c r="Q9" s="70">
        <v>1.4</v>
      </c>
      <c r="R9" s="70" t="s">
        <v>35</v>
      </c>
      <c r="S9" s="70">
        <v>15</v>
      </c>
      <c r="T9" s="57"/>
      <c r="U9" s="183" t="s">
        <v>20</v>
      </c>
      <c r="V9" s="154">
        <v>20</v>
      </c>
      <c r="W9" s="154" t="s">
        <v>228</v>
      </c>
      <c r="X9" s="73"/>
      <c r="Y9" s="195" t="s">
        <v>13</v>
      </c>
      <c r="Z9" s="195">
        <f>3*Z4*($L$5/$L$31)+4*Z6*($L$5/$L$30)</f>
        <v>0</v>
      </c>
      <c r="AA9" s="195" t="s">
        <v>228</v>
      </c>
      <c r="AB9" s="73"/>
      <c r="AC9" s="183" t="s">
        <v>287</v>
      </c>
      <c r="AD9" s="154" t="s">
        <v>278</v>
      </c>
      <c r="AE9" s="205">
        <f>0.4*10</f>
        <v>4</v>
      </c>
      <c r="AF9" s="154" t="s">
        <v>228</v>
      </c>
      <c r="AG9" s="73"/>
      <c r="AH9" s="131"/>
      <c r="AI9" s="67"/>
    </row>
    <row r="10" spans="1:35" ht="15" customHeight="1" thickBot="1" x14ac:dyDescent="0.3">
      <c r="A10" s="501" t="s">
        <v>189</v>
      </c>
      <c r="B10" s="501"/>
      <c r="C10" s="501"/>
      <c r="D10" s="70">
        <f>L9+L4+L5*4+7*(L6*2+L5)</f>
        <v>278.00956000000002</v>
      </c>
      <c r="E10" s="71">
        <f t="shared" si="0"/>
        <v>4.6164565614675599E-25</v>
      </c>
      <c r="F10" s="72"/>
      <c r="G10" s="70">
        <v>62.1</v>
      </c>
      <c r="H10" s="67"/>
      <c r="I10" s="56"/>
      <c r="J10" s="58"/>
      <c r="K10" s="68" t="s">
        <v>18</v>
      </c>
      <c r="L10" s="69">
        <v>10.811</v>
      </c>
      <c r="M10" s="103"/>
      <c r="N10" s="105"/>
      <c r="O10" s="181"/>
      <c r="P10" s="70" t="s">
        <v>44</v>
      </c>
      <c r="Q10" s="70"/>
      <c r="R10" s="70"/>
      <c r="S10" s="70">
        <v>50</v>
      </c>
      <c r="T10" s="57"/>
      <c r="U10" s="183" t="s">
        <v>34</v>
      </c>
      <c r="V10" s="154">
        <v>20</v>
      </c>
      <c r="W10" s="154" t="s">
        <v>228</v>
      </c>
      <c r="X10" s="73"/>
      <c r="Y10" s="195" t="s">
        <v>19</v>
      </c>
      <c r="Z10" s="195">
        <f>Z6*($L$11/$L$30)</f>
        <v>0</v>
      </c>
      <c r="AA10" s="195" t="s">
        <v>228</v>
      </c>
      <c r="AB10" s="67"/>
      <c r="AC10" s="183" t="s">
        <v>288</v>
      </c>
      <c r="AD10" s="154" t="s">
        <v>37</v>
      </c>
      <c r="AE10" s="154" t="s">
        <v>56</v>
      </c>
      <c r="AF10" s="154" t="s">
        <v>228</v>
      </c>
      <c r="AG10" s="73"/>
      <c r="AH10" s="131"/>
      <c r="AI10" s="67"/>
    </row>
    <row r="11" spans="1:35" ht="15" customHeight="1" x14ac:dyDescent="0.25">
      <c r="A11" s="501" t="s">
        <v>6</v>
      </c>
      <c r="B11" s="501"/>
      <c r="C11" s="501"/>
      <c r="D11" s="70">
        <f>L6*3+L10+L5*3</f>
        <v>61.833019999999998</v>
      </c>
      <c r="E11" s="71">
        <f t="shared" si="0"/>
        <v>1.0267612771818164E-25</v>
      </c>
      <c r="F11" s="72"/>
      <c r="G11" s="70">
        <v>5.04</v>
      </c>
      <c r="H11" s="73"/>
      <c r="I11" s="502" t="s">
        <v>200</v>
      </c>
      <c r="J11" s="73"/>
      <c r="K11" s="68" t="s">
        <v>19</v>
      </c>
      <c r="L11" s="69">
        <v>30.973759999999999</v>
      </c>
      <c r="M11" s="103"/>
      <c r="N11" s="105"/>
      <c r="O11" s="181"/>
      <c r="S11" s="57"/>
      <c r="T11" s="57"/>
      <c r="U11" s="183" t="s">
        <v>21</v>
      </c>
      <c r="V11" s="154">
        <v>20</v>
      </c>
      <c r="W11" s="154" t="s">
        <v>228</v>
      </c>
      <c r="X11" s="73"/>
      <c r="Y11" s="195" t="s">
        <v>14</v>
      </c>
      <c r="Z11" s="195">
        <f>4*Z5*($L$6/$L$32)</f>
        <v>0</v>
      </c>
      <c r="AA11" s="195" t="s">
        <v>228</v>
      </c>
      <c r="AB11" s="67"/>
      <c r="AC11" s="195"/>
      <c r="AD11" s="195" t="s">
        <v>14</v>
      </c>
      <c r="AE11" s="195">
        <f>3*AE3*(L6/L37)+AE7*(L6/L41)+2*AE8*(L6/L42)</f>
        <v>0.13789266670017017</v>
      </c>
      <c r="AF11" s="195" t="s">
        <v>228</v>
      </c>
      <c r="AG11" s="73"/>
      <c r="AH11" s="512">
        <f>SUM(AE11:AE20)</f>
        <v>897.11421603609517</v>
      </c>
      <c r="AI11" s="67"/>
    </row>
    <row r="12" spans="1:35" ht="15" customHeight="1" thickBot="1" x14ac:dyDescent="0.3">
      <c r="A12" s="501" t="s">
        <v>7</v>
      </c>
      <c r="B12" s="501"/>
      <c r="C12" s="501"/>
      <c r="D12" s="70">
        <f>L7+L6*2+L11+L5*4</f>
        <v>136.08554000000001</v>
      </c>
      <c r="E12" s="71">
        <f t="shared" si="0"/>
        <v>2.2597531683941229E-25</v>
      </c>
      <c r="F12" s="72"/>
      <c r="G12" s="70">
        <v>22.5</v>
      </c>
      <c r="H12" s="73"/>
      <c r="I12" s="503"/>
      <c r="J12" s="73"/>
      <c r="K12" s="68" t="s">
        <v>20</v>
      </c>
      <c r="L12" s="69">
        <v>63.545999999999999</v>
      </c>
      <c r="M12" s="103"/>
      <c r="N12" s="105"/>
      <c r="O12" s="181"/>
      <c r="P12" s="505" t="s">
        <v>26</v>
      </c>
      <c r="Q12" s="505"/>
      <c r="R12" s="505"/>
      <c r="S12" s="57"/>
      <c r="T12" s="57"/>
      <c r="U12" s="183" t="s">
        <v>231</v>
      </c>
      <c r="V12" s="154">
        <v>20</v>
      </c>
      <c r="W12" s="154" t="s">
        <v>228</v>
      </c>
      <c r="X12" s="67"/>
      <c r="Y12" s="141"/>
      <c r="Z12" s="141"/>
      <c r="AA12" s="141"/>
      <c r="AB12" s="57"/>
      <c r="AC12" s="195"/>
      <c r="AD12" s="195" t="s">
        <v>18</v>
      </c>
      <c r="AE12" s="195">
        <f>AE3*(L10/L37)</f>
        <v>0.34968371268296455</v>
      </c>
      <c r="AF12" s="195" t="s">
        <v>228</v>
      </c>
      <c r="AG12" s="58"/>
      <c r="AH12" s="512"/>
      <c r="AI12" s="67"/>
    </row>
    <row r="13" spans="1:35" ht="15" customHeight="1" thickBot="1" x14ac:dyDescent="0.3">
      <c r="A13" s="501" t="s">
        <v>8</v>
      </c>
      <c r="B13" s="501"/>
      <c r="C13" s="501"/>
      <c r="D13" s="70">
        <f>L14+L8</f>
        <v>58.44247</v>
      </c>
      <c r="E13" s="71">
        <f t="shared" si="0"/>
        <v>9.7045987950871548E-26</v>
      </c>
      <c r="F13" s="72">
        <v>26</v>
      </c>
      <c r="G13" s="70">
        <v>36</v>
      </c>
      <c r="H13" s="73"/>
      <c r="I13" s="503"/>
      <c r="J13" s="73"/>
      <c r="K13" s="68" t="s">
        <v>21</v>
      </c>
      <c r="L13" s="69">
        <v>65.39</v>
      </c>
      <c r="M13" s="103"/>
      <c r="N13" s="105"/>
      <c r="O13" s="181"/>
      <c r="P13" s="70" t="s">
        <v>27</v>
      </c>
      <c r="Q13" s="70">
        <v>3.84</v>
      </c>
      <c r="R13" s="70" t="s">
        <v>35</v>
      </c>
      <c r="S13" s="57"/>
      <c r="T13" s="57"/>
      <c r="U13" s="154" t="s">
        <v>225</v>
      </c>
      <c r="V13" s="154">
        <v>10</v>
      </c>
      <c r="W13" s="154" t="s">
        <v>228</v>
      </c>
      <c r="X13" s="67"/>
      <c r="Y13" s="513" t="s">
        <v>269</v>
      </c>
      <c r="Z13" s="514"/>
      <c r="AA13" s="515"/>
      <c r="AB13" s="57"/>
      <c r="AC13" s="195"/>
      <c r="AD13" s="195" t="s">
        <v>13</v>
      </c>
      <c r="AE13" s="195">
        <f>3*AE3*(L5/L37)+3*AE7*(L5/L41)+4*AE8*(L5/L42)</f>
        <v>2.9394035339392426</v>
      </c>
      <c r="AF13" s="195" t="s">
        <v>228</v>
      </c>
      <c r="AG13" s="58"/>
      <c r="AH13" s="512"/>
      <c r="AI13" s="67"/>
    </row>
    <row r="14" spans="1:35" ht="15" customHeight="1" x14ac:dyDescent="0.25">
      <c r="A14" s="501" t="s">
        <v>9</v>
      </c>
      <c r="B14" s="501"/>
      <c r="C14" s="501"/>
      <c r="D14" s="70">
        <f>L15+L6*4+L15+L5*3</f>
        <v>80.043360000000007</v>
      </c>
      <c r="E14" s="71">
        <f t="shared" si="0"/>
        <v>1.3291510352158755E-25</v>
      </c>
      <c r="F14" s="72"/>
      <c r="G14" s="70">
        <v>192</v>
      </c>
      <c r="H14" s="73"/>
      <c r="I14" s="503"/>
      <c r="J14" s="73"/>
      <c r="K14" s="68" t="s">
        <v>22</v>
      </c>
      <c r="L14" s="69">
        <v>22.98977</v>
      </c>
      <c r="M14" s="103"/>
      <c r="N14" s="105"/>
      <c r="O14" s="181"/>
      <c r="P14" s="70" t="s">
        <v>28</v>
      </c>
      <c r="Q14" s="70">
        <v>0.52</v>
      </c>
      <c r="R14" s="70" t="s">
        <v>35</v>
      </c>
      <c r="S14" s="57"/>
      <c r="T14" s="57"/>
      <c r="U14" s="154" t="s">
        <v>232</v>
      </c>
      <c r="V14" s="154">
        <v>10</v>
      </c>
      <c r="W14" s="154" t="s">
        <v>228</v>
      </c>
      <c r="X14" s="67"/>
      <c r="Y14" s="131" t="s">
        <v>273</v>
      </c>
      <c r="Z14" s="131">
        <v>80</v>
      </c>
      <c r="AA14" s="131" t="s">
        <v>228</v>
      </c>
      <c r="AB14" s="57"/>
      <c r="AC14" s="195"/>
      <c r="AD14" s="195" t="s">
        <v>17</v>
      </c>
      <c r="AE14" s="195">
        <f>AE4*(L9/L38)</f>
        <v>306.41861961947706</v>
      </c>
      <c r="AF14" s="195" t="s">
        <v>228</v>
      </c>
      <c r="AG14" s="58"/>
      <c r="AH14" s="512"/>
      <c r="AI14" s="67"/>
    </row>
    <row r="15" spans="1:35" ht="15" customHeight="1" x14ac:dyDescent="0.25">
      <c r="A15" s="501" t="s">
        <v>163</v>
      </c>
      <c r="B15" s="501"/>
      <c r="C15" s="501"/>
      <c r="D15" s="70">
        <f>L18+L31*2+4*L34</f>
        <v>236.14892000000003</v>
      </c>
      <c r="E15" s="71">
        <f t="shared" si="0"/>
        <v>3.9213443998741552E-25</v>
      </c>
      <c r="F15" s="72"/>
      <c r="G15" s="70">
        <v>430.5</v>
      </c>
      <c r="H15" s="73"/>
      <c r="I15" s="503"/>
      <c r="J15" s="73"/>
      <c r="K15" s="68" t="s">
        <v>23</v>
      </c>
      <c r="L15" s="69">
        <v>14.0067</v>
      </c>
      <c r="M15" s="103"/>
      <c r="N15" s="105"/>
      <c r="O15" s="181"/>
      <c r="P15" s="70" t="s">
        <v>29</v>
      </c>
      <c r="Q15" s="70">
        <v>2.57</v>
      </c>
      <c r="R15" s="70" t="s">
        <v>35</v>
      </c>
      <c r="S15" s="57"/>
      <c r="T15" s="57"/>
      <c r="U15" s="154" t="s">
        <v>233</v>
      </c>
      <c r="V15" s="154">
        <v>10</v>
      </c>
      <c r="W15" s="154" t="s">
        <v>228</v>
      </c>
      <c r="X15" s="67"/>
      <c r="Y15" s="131" t="s">
        <v>54</v>
      </c>
      <c r="Z15" s="131"/>
      <c r="AA15" s="131" t="s">
        <v>228</v>
      </c>
      <c r="AB15" s="57"/>
      <c r="AC15" s="195"/>
      <c r="AD15" s="195" t="s">
        <v>16</v>
      </c>
      <c r="AE15" s="195">
        <f>3*AE4*(L8/L38)+AE5*(L8/L39)+2*AE6*(L8/L40)</f>
        <v>585.54637653532166</v>
      </c>
      <c r="AF15" s="195" t="s">
        <v>228</v>
      </c>
      <c r="AG15" s="58"/>
      <c r="AH15" s="512"/>
      <c r="AI15" s="67"/>
    </row>
    <row r="16" spans="1:35" ht="15" customHeight="1" x14ac:dyDescent="0.25">
      <c r="A16" s="501" t="s">
        <v>164</v>
      </c>
      <c r="B16" s="501"/>
      <c r="C16" s="501"/>
      <c r="D16" s="70">
        <f>L3+2*L31+6*L34</f>
        <v>256.40647999999999</v>
      </c>
      <c r="E16" s="71">
        <f t="shared" si="0"/>
        <v>4.2577290399610735E-25</v>
      </c>
      <c r="F16" s="72"/>
      <c r="G16" s="70">
        <v>382.5</v>
      </c>
      <c r="H16" s="73"/>
      <c r="I16" s="503"/>
      <c r="J16" s="73"/>
      <c r="K16" s="68" t="s">
        <v>24</v>
      </c>
      <c r="L16" s="69">
        <v>54.938049999999997</v>
      </c>
      <c r="M16" s="103"/>
      <c r="N16" s="105"/>
      <c r="O16" s="181"/>
      <c r="P16" s="70" t="s">
        <v>30</v>
      </c>
      <c r="Q16" s="70">
        <v>0.13</v>
      </c>
      <c r="R16" s="70" t="s">
        <v>35</v>
      </c>
      <c r="S16" s="57"/>
      <c r="T16" s="57"/>
      <c r="U16" s="154" t="s">
        <v>234</v>
      </c>
      <c r="V16" s="154">
        <v>10</v>
      </c>
      <c r="W16" s="154" t="s">
        <v>228</v>
      </c>
      <c r="X16" s="67"/>
      <c r="Y16" s="131" t="s">
        <v>55</v>
      </c>
      <c r="Z16" s="131"/>
      <c r="AA16" s="131" t="s">
        <v>228</v>
      </c>
      <c r="AB16" s="57"/>
      <c r="AC16" s="195"/>
      <c r="AD16" s="195" t="s">
        <v>11</v>
      </c>
      <c r="AE16" s="195">
        <f>AE6*(L3/L40)</f>
        <v>0.51055346894877029</v>
      </c>
      <c r="AF16" s="195" t="s">
        <v>228</v>
      </c>
      <c r="AG16" s="58"/>
      <c r="AH16" s="512"/>
      <c r="AI16" s="67"/>
    </row>
    <row r="17" spans="1:35" ht="15" customHeight="1" x14ac:dyDescent="0.25">
      <c r="A17" s="501" t="s">
        <v>162</v>
      </c>
      <c r="B17" s="501"/>
      <c r="C17" s="501"/>
      <c r="D17" s="70">
        <f>L19+4*L6+2*L15+L5</f>
        <v>60.055259999999997</v>
      </c>
      <c r="E17" s="71">
        <f t="shared" si="0"/>
        <v>9.9724088293093321E-26</v>
      </c>
      <c r="F17" s="72"/>
      <c r="G17" s="70">
        <v>107.73399999999999</v>
      </c>
      <c r="H17" s="73"/>
      <c r="I17" s="503"/>
      <c r="J17" s="73"/>
      <c r="K17" s="68" t="s">
        <v>34</v>
      </c>
      <c r="L17" s="69">
        <v>95.94</v>
      </c>
      <c r="M17" s="103"/>
      <c r="N17" s="105"/>
      <c r="O17" s="181"/>
      <c r="P17" s="70" t="s">
        <v>31</v>
      </c>
      <c r="Q17" s="70">
        <v>0.53</v>
      </c>
      <c r="R17" s="70" t="s">
        <v>35</v>
      </c>
      <c r="S17" s="57"/>
      <c r="T17" s="57"/>
      <c r="U17" s="154" t="s">
        <v>235</v>
      </c>
      <c r="V17" s="154">
        <v>10</v>
      </c>
      <c r="W17" s="154" t="s">
        <v>228</v>
      </c>
      <c r="X17" s="67"/>
      <c r="Y17" s="131" t="s">
        <v>51</v>
      </c>
      <c r="Z17" s="131"/>
      <c r="AA17" s="131" t="s">
        <v>228</v>
      </c>
      <c r="AB17" s="57"/>
      <c r="AC17" s="195"/>
      <c r="AD17" s="195" t="s">
        <v>22</v>
      </c>
      <c r="AE17" s="195">
        <f>AE7*(L14/L41)</f>
        <v>0.16419972190283599</v>
      </c>
      <c r="AF17" s="195" t="s">
        <v>228</v>
      </c>
      <c r="AG17" s="58"/>
      <c r="AH17" s="512"/>
      <c r="AI17" s="67"/>
    </row>
    <row r="18" spans="1:35" ht="15" customHeight="1" thickBot="1" x14ac:dyDescent="0.3">
      <c r="A18" s="501" t="s">
        <v>37</v>
      </c>
      <c r="B18" s="501"/>
      <c r="C18" s="501"/>
      <c r="D18" s="70">
        <f>L6*2+L5</f>
        <v>18.015280000000001</v>
      </c>
      <c r="E18" s="71">
        <f t="shared" si="0"/>
        <v>2.9915071108588966E-26</v>
      </c>
      <c r="F18" s="72"/>
      <c r="G18" s="74" t="s">
        <v>56</v>
      </c>
      <c r="H18" s="75"/>
      <c r="I18" s="504"/>
      <c r="J18" s="75"/>
      <c r="K18" s="68" t="s">
        <v>38</v>
      </c>
      <c r="L18" s="69">
        <v>40.078000000000003</v>
      </c>
      <c r="M18" s="103"/>
      <c r="N18" s="105"/>
      <c r="O18" s="181"/>
      <c r="P18" s="70" t="s">
        <v>32</v>
      </c>
      <c r="Q18" s="70">
        <v>0.53</v>
      </c>
      <c r="R18" s="70" t="s">
        <v>35</v>
      </c>
      <c r="S18" s="57"/>
      <c r="T18" s="57"/>
      <c r="U18" s="154" t="s">
        <v>236</v>
      </c>
      <c r="V18" s="154">
        <v>5</v>
      </c>
      <c r="W18" s="154" t="s">
        <v>228</v>
      </c>
      <c r="X18" s="67"/>
      <c r="Y18" s="131" t="s">
        <v>17</v>
      </c>
      <c r="Z18" s="131">
        <v>308</v>
      </c>
      <c r="AA18" s="131" t="s">
        <v>228</v>
      </c>
      <c r="AB18" s="57"/>
      <c r="AC18" s="195"/>
      <c r="AD18" s="195" t="s">
        <v>41</v>
      </c>
      <c r="AE18" s="195"/>
      <c r="AF18" s="195" t="s">
        <v>228</v>
      </c>
      <c r="AG18" s="58"/>
      <c r="AH18" s="512"/>
      <c r="AI18" s="67"/>
    </row>
    <row r="19" spans="1:35" ht="30" customHeight="1" x14ac:dyDescent="0.25">
      <c r="A19" s="76" t="s">
        <v>95</v>
      </c>
      <c r="B19" s="77">
        <v>6</v>
      </c>
      <c r="C19" s="77" t="s">
        <v>35</v>
      </c>
      <c r="D19" s="76">
        <f>L19*18+L6*20+L5*6+L15*2+L9</f>
        <v>416.20619999999997</v>
      </c>
      <c r="E19" s="78">
        <f t="shared" si="0"/>
        <v>6.9112653640884842E-25</v>
      </c>
      <c r="F19" s="72"/>
      <c r="G19" s="70">
        <f>6*Q23</f>
        <v>5.9879999999999995</v>
      </c>
      <c r="H19" s="73"/>
      <c r="I19" s="79">
        <f>$L$9/(D19/100)</f>
        <v>13.417628089153887</v>
      </c>
      <c r="J19" s="73"/>
      <c r="K19" s="70" t="s">
        <v>41</v>
      </c>
      <c r="L19" s="80">
        <v>12.0107</v>
      </c>
      <c r="M19" s="104"/>
      <c r="N19" s="106"/>
      <c r="O19" s="181"/>
      <c r="P19" s="70" t="s">
        <v>33</v>
      </c>
      <c r="Q19" s="70">
        <v>2.57</v>
      </c>
      <c r="R19" s="70" t="s">
        <v>35</v>
      </c>
      <c r="S19" s="57"/>
      <c r="T19" s="57"/>
      <c r="U19" s="154" t="s">
        <v>237</v>
      </c>
      <c r="V19" s="154">
        <v>5</v>
      </c>
      <c r="W19" s="154" t="s">
        <v>228</v>
      </c>
      <c r="X19" s="67"/>
      <c r="Y19" s="195" t="s">
        <v>23</v>
      </c>
      <c r="Z19" s="195">
        <f>($L$15/$L$31)*Z15+($L$15/$L$32)*Z16</f>
        <v>0</v>
      </c>
      <c r="AA19" s="195" t="s">
        <v>228</v>
      </c>
      <c r="AB19" s="57"/>
      <c r="AC19" s="195"/>
      <c r="AD19" s="195" t="s">
        <v>15</v>
      </c>
      <c r="AE19" s="195">
        <f>AE5*L7/L39</f>
        <v>0.52445037625249835</v>
      </c>
      <c r="AF19" s="195" t="s">
        <v>228</v>
      </c>
      <c r="AG19" s="58"/>
      <c r="AH19" s="512"/>
      <c r="AI19" s="67"/>
    </row>
    <row r="20" spans="1:35" ht="30" customHeight="1" x14ac:dyDescent="0.25">
      <c r="A20" s="76" t="s">
        <v>106</v>
      </c>
      <c r="B20" s="77">
        <v>11</v>
      </c>
      <c r="C20" s="77" t="s">
        <v>35</v>
      </c>
      <c r="D20" s="76">
        <f>L19*14+L6*19+L9+L15*3+L14+L5*10</f>
        <v>468.14953000000003</v>
      </c>
      <c r="E20" s="78">
        <f t="shared" si="0"/>
        <v>7.7738045034007261E-25</v>
      </c>
      <c r="F20" s="72"/>
      <c r="G20" s="70">
        <f>15*Q23</f>
        <v>14.97</v>
      </c>
      <c r="H20" s="73"/>
      <c r="I20" s="81">
        <f>$L$9/(D20/100)</f>
        <v>11.928880928279476</v>
      </c>
      <c r="J20" s="73"/>
      <c r="K20" s="131" t="s">
        <v>230</v>
      </c>
      <c r="L20" s="131">
        <v>126.90447</v>
      </c>
      <c r="M20" s="104"/>
      <c r="N20" s="106"/>
      <c r="O20" s="181"/>
      <c r="P20" s="57"/>
      <c r="Q20" s="57"/>
      <c r="R20" s="57"/>
      <c r="S20" s="57"/>
      <c r="T20" s="57"/>
      <c r="U20" s="173"/>
      <c r="V20" s="173"/>
      <c r="W20" s="173"/>
      <c r="X20" s="57"/>
      <c r="Y20" s="195" t="s">
        <v>13</v>
      </c>
      <c r="Z20" s="195">
        <f>3*Z15*($L$5/$L$31)+4*Z17*($L$5/$L$30)</f>
        <v>0</v>
      </c>
      <c r="AA20" s="195" t="s">
        <v>228</v>
      </c>
      <c r="AB20" s="57"/>
      <c r="AC20" s="195"/>
      <c r="AD20" s="195" t="s">
        <v>12</v>
      </c>
      <c r="AE20" s="195">
        <f>AE8*(L4/L42)</f>
        <v>0.52303640087004155</v>
      </c>
      <c r="AF20" s="195" t="s">
        <v>228</v>
      </c>
      <c r="AG20" s="58"/>
      <c r="AH20" s="131"/>
      <c r="AI20" s="67"/>
    </row>
    <row r="21" spans="1:35" ht="30" customHeight="1" x14ac:dyDescent="0.25">
      <c r="A21" s="76" t="s">
        <v>107</v>
      </c>
      <c r="B21" s="77">
        <v>13</v>
      </c>
      <c r="C21" s="77" t="s">
        <v>35</v>
      </c>
      <c r="D21" s="76">
        <f>L19*10+L6*16+L9+L15*2+L14+L5*8</f>
        <v>371.07740999999999</v>
      </c>
      <c r="E21" s="78">
        <f t="shared" si="0"/>
        <v>6.1618843042911465E-25</v>
      </c>
      <c r="F21" s="72"/>
      <c r="G21" s="70">
        <f>9*Q23</f>
        <v>8.9819999999999993</v>
      </c>
      <c r="H21" s="73"/>
      <c r="I21" s="81">
        <f>$L$9/(D21/100)</f>
        <v>15.049420550822536</v>
      </c>
      <c r="J21" s="73"/>
      <c r="K21" s="131" t="s">
        <v>231</v>
      </c>
      <c r="L21" s="131">
        <v>6.94</v>
      </c>
      <c r="M21" s="104"/>
      <c r="N21" s="106"/>
      <c r="O21" s="181"/>
      <c r="P21" s="70" t="s">
        <v>39</v>
      </c>
      <c r="Q21" s="71">
        <v>1.6605387820000001E-27</v>
      </c>
      <c r="S21" s="57"/>
      <c r="T21" s="57"/>
      <c r="U21" s="499" t="s">
        <v>239</v>
      </c>
      <c r="V21" s="499"/>
      <c r="W21" s="499"/>
      <c r="X21" s="57"/>
      <c r="Y21" s="195" t="s">
        <v>19</v>
      </c>
      <c r="Z21" s="195">
        <f>Z17*($L$11/$L$30)</f>
        <v>0</v>
      </c>
      <c r="AA21" s="195" t="s">
        <v>228</v>
      </c>
      <c r="AB21" s="57"/>
      <c r="AC21" s="195"/>
      <c r="AD21" s="195" t="s">
        <v>50</v>
      </c>
      <c r="AE21" s="195">
        <f>AE8*(L29/L42)</f>
        <v>1.5671123325082379</v>
      </c>
      <c r="AF21" s="195" t="s">
        <v>228</v>
      </c>
      <c r="AH21" s="82"/>
    </row>
    <row r="22" spans="1:35" ht="30" customHeight="1" thickBot="1" x14ac:dyDescent="0.3">
      <c r="A22" s="76" t="s">
        <v>108</v>
      </c>
      <c r="B22" s="77">
        <v>6</v>
      </c>
      <c r="C22" s="77" t="s">
        <v>35</v>
      </c>
      <c r="D22" s="76">
        <f>L19*14+L6*26+L9+L15*5+L5*10</f>
        <v>480.22874000000002</v>
      </c>
      <c r="E22" s="78">
        <f t="shared" si="0"/>
        <v>7.9743844700099477E-25</v>
      </c>
      <c r="F22" s="72"/>
      <c r="G22" s="70">
        <f>40*Q23</f>
        <v>39.92</v>
      </c>
      <c r="H22" s="73"/>
      <c r="I22" s="81">
        <f>$L$9/(D22/100)</f>
        <v>11.62883337636144</v>
      </c>
      <c r="J22" s="73"/>
      <c r="K22" s="131" t="s">
        <v>225</v>
      </c>
      <c r="L22" s="131">
        <v>58.693399999999997</v>
      </c>
      <c r="M22" s="104"/>
      <c r="N22" s="106">
        <f>L15/L31</f>
        <v>0.22589666300566569</v>
      </c>
      <c r="O22" s="181"/>
      <c r="P22" s="70" t="s">
        <v>42</v>
      </c>
      <c r="Q22" s="71">
        <v>6.0221415000000003E+23</v>
      </c>
      <c r="S22" s="57"/>
      <c r="T22" s="57"/>
      <c r="U22" s="183" t="s">
        <v>17</v>
      </c>
      <c r="V22" s="154">
        <v>5000</v>
      </c>
      <c r="W22" s="154" t="s">
        <v>228</v>
      </c>
      <c r="X22" s="57"/>
      <c r="Y22" s="195" t="s">
        <v>14</v>
      </c>
      <c r="Z22" s="195">
        <f>4*Z16*($L$6/$L$32)</f>
        <v>0</v>
      </c>
      <c r="AA22" s="195" t="s">
        <v>228</v>
      </c>
      <c r="AB22" s="57"/>
      <c r="AC22" s="56"/>
      <c r="AD22" s="56"/>
      <c r="AE22" s="56"/>
      <c r="AF22" s="56"/>
    </row>
    <row r="23" spans="1:35" ht="30.75" customHeight="1" thickBot="1" x14ac:dyDescent="0.3">
      <c r="A23" s="76" t="s">
        <v>329</v>
      </c>
      <c r="B23" s="77">
        <v>12.1580547112462</v>
      </c>
      <c r="C23" s="77" t="s">
        <v>35</v>
      </c>
      <c r="D23" s="76">
        <f>12*L19+24*L6+L9+14*L5</f>
        <v>448.15556000000004</v>
      </c>
      <c r="E23" s="78">
        <f t="shared" si="0"/>
        <v>7.4417968774892807E-25</v>
      </c>
      <c r="F23" s="72"/>
      <c r="G23" s="74" t="s">
        <v>56</v>
      </c>
      <c r="H23" s="67"/>
      <c r="I23" s="82"/>
      <c r="J23" s="58"/>
      <c r="K23" s="131" t="s">
        <v>232</v>
      </c>
      <c r="L23" s="131">
        <v>58.933199999999999</v>
      </c>
      <c r="M23" s="104"/>
      <c r="N23" s="106">
        <f>L15/L32</f>
        <v>0.77649089778173963</v>
      </c>
      <c r="O23" s="181"/>
      <c r="P23" s="501" t="s">
        <v>45</v>
      </c>
      <c r="Q23" s="516">
        <v>0.998</v>
      </c>
      <c r="S23" s="57"/>
      <c r="T23" s="57"/>
      <c r="U23" s="57"/>
      <c r="V23" s="57"/>
      <c r="W23" s="57"/>
      <c r="X23" s="57"/>
      <c r="AB23" s="58"/>
      <c r="AC23" s="494" t="s">
        <v>296</v>
      </c>
      <c r="AD23" s="495"/>
      <c r="AE23" s="495"/>
      <c r="AF23" s="496"/>
      <c r="AG23" s="67"/>
    </row>
    <row r="24" spans="1:35" ht="15" customHeight="1" thickBot="1" x14ac:dyDescent="0.3">
      <c r="A24" s="509" t="s">
        <v>5</v>
      </c>
      <c r="B24" s="510"/>
      <c r="C24" s="511"/>
      <c r="D24" s="74" t="s">
        <v>56</v>
      </c>
      <c r="E24" s="74" t="s">
        <v>56</v>
      </c>
      <c r="F24" s="70"/>
      <c r="G24" s="70"/>
      <c r="H24" s="67"/>
      <c r="J24" s="58"/>
      <c r="K24" s="131" t="s">
        <v>233</v>
      </c>
      <c r="L24" s="131">
        <v>26.981539999999999</v>
      </c>
      <c r="M24" s="104"/>
      <c r="N24" s="106">
        <f>L15/L33</f>
        <v>0.87418505633924115</v>
      </c>
      <c r="O24" s="181"/>
      <c r="P24" s="501"/>
      <c r="Q24" s="517"/>
      <c r="S24" s="57"/>
      <c r="T24" s="57"/>
      <c r="U24" s="499" t="s">
        <v>255</v>
      </c>
      <c r="V24" s="499"/>
      <c r="W24" s="499"/>
      <c r="X24" s="57"/>
      <c r="Y24" s="513" t="s">
        <v>270</v>
      </c>
      <c r="Z24" s="514"/>
      <c r="AA24" s="515"/>
      <c r="AB24" s="58"/>
      <c r="AC24" s="497" t="s">
        <v>23</v>
      </c>
      <c r="AD24" s="498"/>
      <c r="AE24" s="214">
        <f>1.34*10000</f>
        <v>13400</v>
      </c>
      <c r="AF24" s="214" t="s">
        <v>228</v>
      </c>
      <c r="AG24" s="67"/>
    </row>
    <row r="25" spans="1:35" ht="30" x14ac:dyDescent="0.25">
      <c r="A25" s="501" t="s">
        <v>46</v>
      </c>
      <c r="B25" s="501"/>
      <c r="C25" s="501"/>
      <c r="D25" s="74" t="s">
        <v>56</v>
      </c>
      <c r="E25" s="74" t="s">
        <v>56</v>
      </c>
      <c r="F25" s="70"/>
      <c r="G25" s="70"/>
      <c r="J25" s="58"/>
      <c r="K25" s="131" t="s">
        <v>234</v>
      </c>
      <c r="L25" s="131">
        <v>118.71</v>
      </c>
      <c r="M25" s="104"/>
      <c r="N25" s="106"/>
      <c r="O25" s="181"/>
      <c r="S25" s="57"/>
      <c r="T25" s="57"/>
      <c r="U25" s="183" t="s">
        <v>15</v>
      </c>
      <c r="V25" s="154">
        <v>40000</v>
      </c>
      <c r="W25" s="154" t="s">
        <v>228</v>
      </c>
      <c r="X25" s="57"/>
      <c r="Y25" s="131" t="s">
        <v>273</v>
      </c>
      <c r="Z25" s="131">
        <v>900</v>
      </c>
      <c r="AA25" s="131" t="s">
        <v>228</v>
      </c>
      <c r="AB25" s="58"/>
      <c r="AC25" s="490" t="s">
        <v>297</v>
      </c>
      <c r="AD25" s="491"/>
      <c r="AE25" s="131">
        <f>0.1*10000</f>
        <v>1000</v>
      </c>
      <c r="AF25" s="131" t="s">
        <v>228</v>
      </c>
      <c r="AG25" s="67"/>
    </row>
    <row r="26" spans="1:35" ht="28.5" customHeight="1" x14ac:dyDescent="0.25">
      <c r="K26" s="131" t="s">
        <v>235</v>
      </c>
      <c r="L26" s="131">
        <v>18.998403</v>
      </c>
      <c r="M26" s="82"/>
      <c r="N26" s="82"/>
      <c r="P26" s="57"/>
      <c r="Q26" s="57"/>
      <c r="R26" s="57"/>
      <c r="S26" s="57"/>
      <c r="T26" s="57"/>
      <c r="U26" s="57"/>
      <c r="V26" s="57"/>
      <c r="W26" s="57"/>
      <c r="X26" s="57"/>
      <c r="Y26" s="131" t="s">
        <v>54</v>
      </c>
      <c r="Z26" s="131"/>
      <c r="AA26" s="131" t="s">
        <v>228</v>
      </c>
      <c r="AB26" s="58"/>
      <c r="AC26" s="490" t="s">
        <v>17</v>
      </c>
      <c r="AD26" s="491"/>
      <c r="AE26" s="131">
        <f>0.07*10000</f>
        <v>700.00000000000011</v>
      </c>
      <c r="AF26" s="131" t="s">
        <v>228</v>
      </c>
      <c r="AG26" s="67"/>
    </row>
    <row r="27" spans="1:35" ht="15" customHeight="1" x14ac:dyDescent="0.25">
      <c r="E27" s="67"/>
      <c r="J27" s="58"/>
      <c r="K27" s="131" t="s">
        <v>236</v>
      </c>
      <c r="L27" s="131">
        <v>50.941499999999998</v>
      </c>
      <c r="M27" s="67"/>
      <c r="N27" s="57"/>
      <c r="P27" s="57"/>
      <c r="Q27" s="57"/>
      <c r="R27" s="57"/>
      <c r="S27" s="57"/>
      <c r="T27" s="57"/>
      <c r="U27" s="499" t="s">
        <v>256</v>
      </c>
      <c r="V27" s="499"/>
      <c r="W27" s="499"/>
      <c r="X27" s="57"/>
      <c r="Y27" s="131" t="s">
        <v>55</v>
      </c>
      <c r="Z27" s="131"/>
      <c r="AA27" s="131" t="s">
        <v>228</v>
      </c>
      <c r="AB27" s="58"/>
      <c r="AC27" s="490" t="s">
        <v>12</v>
      </c>
      <c r="AD27" s="491"/>
      <c r="AE27" s="131">
        <f>0.91*10000</f>
        <v>9100</v>
      </c>
      <c r="AF27" s="131" t="s">
        <v>228</v>
      </c>
      <c r="AG27" s="67"/>
    </row>
    <row r="28" spans="1:35" ht="15" customHeight="1" x14ac:dyDescent="0.25">
      <c r="E28" s="67"/>
      <c r="J28" s="58"/>
      <c r="K28" s="131" t="s">
        <v>237</v>
      </c>
      <c r="L28" s="131">
        <v>78.959999999999994</v>
      </c>
      <c r="M28" s="139"/>
      <c r="P28" s="57"/>
      <c r="Q28" s="57"/>
      <c r="R28" s="57"/>
      <c r="S28" s="57"/>
      <c r="T28" s="57"/>
      <c r="U28" s="208" t="s">
        <v>23</v>
      </c>
      <c r="V28" s="209">
        <f>V30*(L15/L31)</f>
        <v>22589.666300566569</v>
      </c>
      <c r="W28" s="209" t="s">
        <v>228</v>
      </c>
      <c r="X28" s="57"/>
      <c r="Y28" s="131" t="s">
        <v>51</v>
      </c>
      <c r="Z28" s="131"/>
      <c r="AA28" s="131" t="s">
        <v>228</v>
      </c>
      <c r="AB28" s="58"/>
      <c r="AC28" s="490" t="s">
        <v>15</v>
      </c>
      <c r="AD28" s="491"/>
      <c r="AE28" s="131">
        <f>1.03*10000</f>
        <v>10300</v>
      </c>
      <c r="AF28" s="131" t="s">
        <v>228</v>
      </c>
      <c r="AG28" s="67"/>
    </row>
    <row r="29" spans="1:35" ht="15" customHeight="1" x14ac:dyDescent="0.25">
      <c r="E29" s="67"/>
      <c r="J29" s="58"/>
      <c r="K29" s="70" t="s">
        <v>50</v>
      </c>
      <c r="L29" s="131">
        <f>L4+L5*4</f>
        <v>96.057600000000008</v>
      </c>
      <c r="M29" s="67"/>
      <c r="N29" s="57"/>
      <c r="P29" s="57"/>
      <c r="Q29" s="57"/>
      <c r="R29" s="57"/>
      <c r="S29" s="57"/>
      <c r="T29" s="57"/>
      <c r="U29" s="208" t="s">
        <v>13</v>
      </c>
      <c r="V29" s="209">
        <f>V30*3*(L5/L31)</f>
        <v>77410.333699433439</v>
      </c>
      <c r="W29" s="209" t="s">
        <v>228</v>
      </c>
      <c r="X29" s="57"/>
      <c r="Y29" s="131" t="s">
        <v>17</v>
      </c>
      <c r="Z29" s="131">
        <v>341</v>
      </c>
      <c r="AA29" s="131" t="s">
        <v>228</v>
      </c>
      <c r="AB29" s="58"/>
      <c r="AC29" s="490" t="s">
        <v>11</v>
      </c>
      <c r="AD29" s="491"/>
      <c r="AE29" s="131">
        <f>0.39*10000</f>
        <v>3900</v>
      </c>
      <c r="AF29" s="131" t="s">
        <v>228</v>
      </c>
      <c r="AG29" s="67"/>
    </row>
    <row r="30" spans="1:35" ht="15" customHeight="1" x14ac:dyDescent="0.25">
      <c r="E30" s="67"/>
      <c r="F30" s="56"/>
      <c r="G30" s="56"/>
      <c r="J30" s="58"/>
      <c r="K30" s="70" t="s">
        <v>51</v>
      </c>
      <c r="L30" s="131">
        <f>L11+L5*4</f>
        <v>94.971360000000004</v>
      </c>
      <c r="M30" s="67"/>
      <c r="N30" s="57"/>
      <c r="P30" s="57"/>
      <c r="Q30" s="57"/>
      <c r="R30" s="57"/>
      <c r="S30" s="57"/>
      <c r="T30" s="57"/>
      <c r="U30" s="183" t="s">
        <v>54</v>
      </c>
      <c r="V30" s="154">
        <v>100000</v>
      </c>
      <c r="W30" s="154" t="s">
        <v>228</v>
      </c>
      <c r="X30" s="57"/>
      <c r="Y30" s="195" t="s">
        <v>23</v>
      </c>
      <c r="Z30" s="195">
        <f>($L$15/$L$31)*Z26+($L$15/$L$32)*Z27</f>
        <v>0</v>
      </c>
      <c r="AA30" s="195" t="s">
        <v>228</v>
      </c>
      <c r="AB30" s="58"/>
      <c r="AC30" s="490" t="s">
        <v>24</v>
      </c>
      <c r="AD30" s="491"/>
      <c r="AE30" s="131">
        <f>0.04*10000</f>
        <v>400</v>
      </c>
      <c r="AF30" s="131" t="s">
        <v>228</v>
      </c>
      <c r="AG30" s="67"/>
    </row>
    <row r="31" spans="1:35" ht="15" customHeight="1" x14ac:dyDescent="0.25">
      <c r="E31" s="73"/>
      <c r="H31" s="84"/>
      <c r="I31" s="85"/>
      <c r="J31" s="138"/>
      <c r="K31" s="70" t="s">
        <v>54</v>
      </c>
      <c r="L31" s="80">
        <f>L15+L5*3</f>
        <v>62.004899999999999</v>
      </c>
      <c r="M31" s="139"/>
      <c r="P31" s="57"/>
      <c r="Q31" s="57"/>
      <c r="R31" s="57"/>
      <c r="S31" s="57"/>
      <c r="U31" s="183" t="s">
        <v>15</v>
      </c>
      <c r="V31" s="154">
        <v>65000</v>
      </c>
      <c r="W31" s="154" t="s">
        <v>228</v>
      </c>
      <c r="Y31" s="195" t="s">
        <v>13</v>
      </c>
      <c r="Z31" s="195">
        <f>3*Z26*($L$5/$L$31)+4*Z28*($L$5/$L$30)</f>
        <v>0</v>
      </c>
      <c r="AA31" s="195" t="s">
        <v>228</v>
      </c>
      <c r="AB31" s="211"/>
      <c r="AC31" s="490" t="s">
        <v>21</v>
      </c>
      <c r="AD31" s="491"/>
      <c r="AE31" s="131">
        <f>0.002*10000</f>
        <v>20</v>
      </c>
      <c r="AF31" s="131" t="s">
        <v>228</v>
      </c>
      <c r="AG31" s="67"/>
    </row>
    <row r="32" spans="1:35" ht="15" customHeight="1" x14ac:dyDescent="0.25">
      <c r="E32" s="73"/>
      <c r="H32" s="84"/>
      <c r="I32" s="85"/>
      <c r="J32" s="138"/>
      <c r="K32" s="70" t="s">
        <v>55</v>
      </c>
      <c r="L32" s="80">
        <f>L15+L6*4</f>
        <v>18.038460000000001</v>
      </c>
      <c r="M32" s="67"/>
      <c r="N32" s="57"/>
      <c r="P32" s="57"/>
      <c r="Q32" s="57"/>
      <c r="R32" s="57"/>
      <c r="S32" s="57"/>
      <c r="U32" s="57"/>
      <c r="V32" s="57"/>
      <c r="W32" s="57"/>
      <c r="Y32" s="195" t="s">
        <v>19</v>
      </c>
      <c r="Z32" s="195">
        <f>Z28*($L$11/$L$30)</f>
        <v>0</v>
      </c>
      <c r="AA32" s="195" t="s">
        <v>228</v>
      </c>
      <c r="AB32" s="211"/>
      <c r="AC32" s="490" t="s">
        <v>20</v>
      </c>
      <c r="AD32" s="491"/>
      <c r="AE32" s="131">
        <f>0.006*10000</f>
        <v>60</v>
      </c>
      <c r="AF32" s="131" t="s">
        <v>228</v>
      </c>
      <c r="AG32" s="67"/>
    </row>
    <row r="33" spans="1:33" ht="15" customHeight="1" x14ac:dyDescent="0.25">
      <c r="E33" s="73"/>
      <c r="H33" s="67"/>
      <c r="J33" s="58"/>
      <c r="K33" s="70" t="s">
        <v>218</v>
      </c>
      <c r="L33" s="80">
        <f>L15+2*L6</f>
        <v>16.022580000000001</v>
      </c>
      <c r="M33" s="139"/>
      <c r="P33" s="57"/>
      <c r="Q33" s="57"/>
      <c r="R33" s="57"/>
      <c r="S33" s="57"/>
      <c r="T33" s="57"/>
      <c r="U33" s="499" t="s">
        <v>257</v>
      </c>
      <c r="V33" s="499"/>
      <c r="W33" s="499"/>
      <c r="X33" s="57"/>
      <c r="Y33" s="195" t="s">
        <v>14</v>
      </c>
      <c r="Z33" s="195">
        <f>4*Z27*($L$6/$L$32)</f>
        <v>0</v>
      </c>
      <c r="AA33" s="195" t="s">
        <v>228</v>
      </c>
      <c r="AB33" s="58"/>
      <c r="AC33" s="490" t="s">
        <v>34</v>
      </c>
      <c r="AD33" s="491"/>
      <c r="AE33" s="131">
        <f>0.002*10000</f>
        <v>20</v>
      </c>
      <c r="AF33" s="131" t="s">
        <v>228</v>
      </c>
      <c r="AG33" s="67"/>
    </row>
    <row r="34" spans="1:33" ht="30.75" thickBot="1" x14ac:dyDescent="0.3">
      <c r="E34" s="73"/>
      <c r="H34" s="67"/>
      <c r="J34" s="58"/>
      <c r="K34" s="140" t="s">
        <v>37</v>
      </c>
      <c r="L34" s="204">
        <f>L6*2+L5</f>
        <v>18.015280000000001</v>
      </c>
      <c r="M34" s="139"/>
      <c r="P34" s="57"/>
      <c r="Q34" s="57"/>
      <c r="R34" s="57"/>
      <c r="S34" s="57"/>
      <c r="T34" s="57"/>
      <c r="U34" s="208" t="s">
        <v>19</v>
      </c>
      <c r="V34" s="209">
        <f>V36*L11/L30</f>
        <v>1630.6895047096302</v>
      </c>
      <c r="W34" s="209" t="s">
        <v>228</v>
      </c>
      <c r="X34" s="57"/>
      <c r="Y34" s="57"/>
      <c r="Z34" s="57"/>
      <c r="AA34" s="57"/>
      <c r="AB34" s="58"/>
      <c r="AC34" s="490" t="s">
        <v>18</v>
      </c>
      <c r="AD34" s="491"/>
      <c r="AE34" s="131">
        <f>0.004*10000</f>
        <v>40</v>
      </c>
      <c r="AF34" s="131" t="s">
        <v>228</v>
      </c>
      <c r="AG34" s="67"/>
    </row>
    <row r="35" spans="1:33" ht="30.75" thickBot="1" x14ac:dyDescent="0.3">
      <c r="A35" s="83"/>
      <c r="B35" s="83"/>
      <c r="C35" s="83"/>
      <c r="D35" s="82"/>
      <c r="F35" s="82"/>
      <c r="G35" s="82"/>
      <c r="J35" s="58"/>
      <c r="K35" s="131" t="s">
        <v>100</v>
      </c>
      <c r="L35" s="106" t="s">
        <v>56</v>
      </c>
      <c r="M35" s="139"/>
      <c r="T35" s="57"/>
      <c r="U35" s="208" t="s">
        <v>13</v>
      </c>
      <c r="V35" s="209">
        <f>V36*4*L5/L30</f>
        <v>3369.3104952903695</v>
      </c>
      <c r="W35" s="209" t="s">
        <v>228</v>
      </c>
      <c r="X35" s="57"/>
      <c r="Y35" s="513" t="s">
        <v>265</v>
      </c>
      <c r="Z35" s="514"/>
      <c r="AA35" s="515"/>
      <c r="AB35" s="57"/>
      <c r="AC35" s="490" t="s">
        <v>298</v>
      </c>
      <c r="AD35" s="491"/>
      <c r="AE35" s="131" t="s">
        <v>56</v>
      </c>
      <c r="AF35" s="131"/>
    </row>
    <row r="36" spans="1:33" ht="30" x14ac:dyDescent="0.25">
      <c r="D36" s="61"/>
      <c r="K36" s="82"/>
      <c r="L36" s="141"/>
      <c r="P36" s="57"/>
      <c r="Q36" s="57"/>
      <c r="R36" s="57"/>
      <c r="S36" s="57"/>
      <c r="T36" s="57"/>
      <c r="U36" s="183" t="s">
        <v>51</v>
      </c>
      <c r="V36" s="154">
        <v>5000</v>
      </c>
      <c r="W36" s="154" t="s">
        <v>228</v>
      </c>
      <c r="X36" s="57"/>
      <c r="Y36" s="131" t="s">
        <v>273</v>
      </c>
      <c r="Z36" s="131">
        <v>68000</v>
      </c>
      <c r="AA36" s="131" t="s">
        <v>228</v>
      </c>
      <c r="AB36" s="57"/>
      <c r="AC36" s="490" t="s">
        <v>299</v>
      </c>
      <c r="AD36" s="491"/>
      <c r="AE36" s="131" t="s">
        <v>56</v>
      </c>
      <c r="AF36" s="131"/>
    </row>
    <row r="37" spans="1:33" x14ac:dyDescent="0.25">
      <c r="D37" s="67"/>
      <c r="K37" s="154" t="s">
        <v>6</v>
      </c>
      <c r="L37" s="131">
        <f>3*L6+L10+3*L5</f>
        <v>61.833019999999998</v>
      </c>
      <c r="P37" s="57"/>
      <c r="Q37" s="57"/>
      <c r="R37" s="57"/>
      <c r="S37" s="57"/>
      <c r="T37" s="57"/>
      <c r="X37" s="57"/>
      <c r="Y37" s="131" t="s">
        <v>54</v>
      </c>
      <c r="Z37" s="131"/>
      <c r="AA37" s="131" t="s">
        <v>228</v>
      </c>
      <c r="AB37" s="57"/>
      <c r="AC37" s="490"/>
      <c r="AD37" s="491"/>
      <c r="AE37" s="131"/>
      <c r="AF37" s="131"/>
    </row>
    <row r="38" spans="1:33" ht="15.75" thickBot="1" x14ac:dyDescent="0.3">
      <c r="D38" s="67"/>
      <c r="K38" s="154" t="s">
        <v>277</v>
      </c>
      <c r="L38" s="131">
        <f>L9+L8*3</f>
        <v>162.20310000000001</v>
      </c>
      <c r="P38" s="57"/>
      <c r="Q38" s="57"/>
      <c r="R38" s="57"/>
      <c r="S38" s="57"/>
      <c r="T38" s="57"/>
      <c r="X38" s="57"/>
      <c r="Y38" s="131" t="s">
        <v>55</v>
      </c>
      <c r="Z38" s="131"/>
      <c r="AA38" s="131" t="s">
        <v>228</v>
      </c>
      <c r="AB38" s="57"/>
    </row>
    <row r="39" spans="1:33" ht="15.75" thickBot="1" x14ac:dyDescent="0.3">
      <c r="D39" s="67"/>
      <c r="K39" s="154" t="s">
        <v>2</v>
      </c>
      <c r="L39" s="131">
        <f>L7+L8</f>
        <v>74.551000000000002</v>
      </c>
      <c r="P39" s="57"/>
      <c r="Q39" s="57"/>
      <c r="R39" s="57"/>
      <c r="S39" s="57"/>
      <c r="T39" s="57"/>
      <c r="X39" s="57"/>
      <c r="Y39" s="131" t="s">
        <v>51</v>
      </c>
      <c r="Z39" s="131"/>
      <c r="AA39" s="131" t="s">
        <v>228</v>
      </c>
      <c r="AB39" s="57"/>
      <c r="AC39" s="494" t="s">
        <v>305</v>
      </c>
      <c r="AD39" s="495"/>
      <c r="AE39" s="495"/>
      <c r="AF39" s="496"/>
    </row>
    <row r="40" spans="1:33" x14ac:dyDescent="0.25">
      <c r="D40" s="67"/>
      <c r="K40" s="154" t="s">
        <v>276</v>
      </c>
      <c r="L40" s="131">
        <f>L3+L8*2</f>
        <v>95.210399999999993</v>
      </c>
      <c r="P40" s="57"/>
      <c r="Q40" s="57"/>
      <c r="R40" s="57"/>
      <c r="S40" s="57"/>
      <c r="T40" s="57"/>
      <c r="X40" s="57"/>
      <c r="Y40" s="131" t="s">
        <v>17</v>
      </c>
      <c r="Z40" s="131"/>
      <c r="AA40" s="131" t="s">
        <v>228</v>
      </c>
      <c r="AB40" s="57"/>
      <c r="AC40" s="497" t="s">
        <v>23</v>
      </c>
      <c r="AD40" s="498"/>
      <c r="AE40" s="214"/>
      <c r="AF40" s="214" t="s">
        <v>228</v>
      </c>
    </row>
    <row r="41" spans="1:33" x14ac:dyDescent="0.25">
      <c r="D41" s="67"/>
      <c r="K41" s="154" t="s">
        <v>290</v>
      </c>
      <c r="L41" s="80">
        <f>L14+L6+L19+L5*3</f>
        <v>84.006609999999995</v>
      </c>
      <c r="P41" s="57"/>
      <c r="Q41" s="57"/>
      <c r="R41" s="57"/>
      <c r="S41" s="57"/>
      <c r="T41" s="57"/>
      <c r="U41" s="57"/>
      <c r="V41" s="57"/>
      <c r="W41" s="57"/>
      <c r="X41" s="57"/>
      <c r="Y41" s="195" t="s">
        <v>23</v>
      </c>
      <c r="Z41" s="195">
        <f>($L$15/$L$31)*Z37+($L$15/$L$32)*Z38</f>
        <v>0</v>
      </c>
      <c r="AA41" s="195" t="s">
        <v>228</v>
      </c>
      <c r="AB41" s="57"/>
      <c r="AC41" s="490" t="s">
        <v>297</v>
      </c>
      <c r="AD41" s="491"/>
      <c r="AE41" s="131"/>
      <c r="AF41" s="131" t="s">
        <v>228</v>
      </c>
    </row>
    <row r="42" spans="1:33" x14ac:dyDescent="0.25">
      <c r="D42" s="67"/>
      <c r="K42" s="154" t="s">
        <v>275</v>
      </c>
      <c r="L42" s="80">
        <f>L6*2+L29</f>
        <v>98.073480000000004</v>
      </c>
      <c r="P42" s="57"/>
      <c r="Q42" s="57"/>
      <c r="R42" s="57"/>
      <c r="S42" s="57"/>
      <c r="T42" s="57"/>
      <c r="U42" s="57"/>
      <c r="V42" s="57"/>
      <c r="W42" s="57"/>
      <c r="X42" s="57"/>
      <c r="Y42" s="195" t="s">
        <v>13</v>
      </c>
      <c r="Z42" s="195">
        <f>3*Z37*($L$5/$L$31)+4*Z39*($L$5/$L$30)</f>
        <v>0</v>
      </c>
      <c r="AA42" s="195" t="s">
        <v>228</v>
      </c>
      <c r="AB42" s="57"/>
      <c r="AC42" s="490" t="s">
        <v>17</v>
      </c>
      <c r="AD42" s="491"/>
      <c r="AE42" s="131">
        <f>0.07*10000</f>
        <v>700.00000000000011</v>
      </c>
      <c r="AF42" s="131" t="s">
        <v>228</v>
      </c>
    </row>
    <row r="43" spans="1:33" x14ac:dyDescent="0.25">
      <c r="D43" s="67"/>
      <c r="K43" s="154" t="s">
        <v>278</v>
      </c>
      <c r="L43" s="80">
        <f>L19*10+L6*16+L15*2+L5*8</f>
        <v>292.24263999999999</v>
      </c>
      <c r="P43" s="57"/>
      <c r="Q43" s="57"/>
      <c r="R43" s="57"/>
      <c r="S43" s="57"/>
      <c r="T43" s="57"/>
      <c r="U43" s="57"/>
      <c r="V43" s="57"/>
      <c r="W43" s="57"/>
      <c r="X43" s="57"/>
      <c r="Y43" s="195" t="s">
        <v>19</v>
      </c>
      <c r="Z43" s="195">
        <f>Z39*($L$11/$L$30)</f>
        <v>0</v>
      </c>
      <c r="AA43" s="195" t="s">
        <v>228</v>
      </c>
      <c r="AB43" s="57"/>
      <c r="AC43" s="490" t="s">
        <v>12</v>
      </c>
      <c r="AD43" s="491"/>
      <c r="AE43" s="131">
        <f>1.01*10000</f>
        <v>10100</v>
      </c>
      <c r="AF43" s="131" t="s">
        <v>228</v>
      </c>
    </row>
    <row r="44" spans="1:33" x14ac:dyDescent="0.25">
      <c r="A44" s="82"/>
      <c r="B44" s="82"/>
      <c r="C44" s="82"/>
      <c r="K44" s="154" t="s">
        <v>302</v>
      </c>
      <c r="L44" s="80">
        <f>L7*2+L5</f>
        <v>94.195999999999998</v>
      </c>
      <c r="T44" s="57"/>
      <c r="U44" s="57"/>
      <c r="V44" s="57"/>
      <c r="W44" s="57"/>
      <c r="X44" s="57"/>
      <c r="Y44" s="195" t="s">
        <v>14</v>
      </c>
      <c r="Z44" s="195">
        <f>4*Z38*($L$6/$L$32)</f>
        <v>0</v>
      </c>
      <c r="AA44" s="195" t="s">
        <v>228</v>
      </c>
      <c r="AB44" s="57"/>
      <c r="AC44" s="490" t="s">
        <v>15</v>
      </c>
      <c r="AD44" s="491"/>
      <c r="AE44" s="131">
        <f>0.79*10000</f>
        <v>7900</v>
      </c>
      <c r="AF44" s="131" t="s">
        <v>228</v>
      </c>
    </row>
    <row r="45" spans="1:33" ht="15.75" thickBot="1" x14ac:dyDescent="0.3">
      <c r="K45" s="154" t="s">
        <v>308</v>
      </c>
      <c r="L45" s="80">
        <f>L11*2+L5*5</f>
        <v>141.94452000000001</v>
      </c>
      <c r="AC45" s="490" t="s">
        <v>11</v>
      </c>
      <c r="AD45" s="491"/>
      <c r="AE45" s="131">
        <f>0.39*10000</f>
        <v>3900</v>
      </c>
      <c r="AF45" s="131" t="s">
        <v>228</v>
      </c>
    </row>
    <row r="46" spans="1:33" ht="15.75" thickBot="1" x14ac:dyDescent="0.3">
      <c r="Y46" s="513" t="s">
        <v>271</v>
      </c>
      <c r="Z46" s="514"/>
      <c r="AA46" s="515"/>
      <c r="AC46" s="490" t="s">
        <v>24</v>
      </c>
      <c r="AD46" s="491"/>
      <c r="AE46" s="131">
        <f>0.04*10000</f>
        <v>400</v>
      </c>
      <c r="AF46" s="131" t="s">
        <v>228</v>
      </c>
    </row>
    <row r="47" spans="1:33" x14ac:dyDescent="0.25">
      <c r="Y47" s="131" t="s">
        <v>273</v>
      </c>
      <c r="Z47" s="131">
        <v>2400</v>
      </c>
      <c r="AA47" s="131" t="s">
        <v>228</v>
      </c>
      <c r="AC47" s="490" t="s">
        <v>21</v>
      </c>
      <c r="AD47" s="491"/>
      <c r="AE47" s="131">
        <f>0.002*10000</f>
        <v>20</v>
      </c>
      <c r="AF47" s="131" t="s">
        <v>228</v>
      </c>
    </row>
    <row r="48" spans="1:33" x14ac:dyDescent="0.25">
      <c r="Y48" s="131" t="s">
        <v>54</v>
      </c>
      <c r="Z48" s="131">
        <v>4385</v>
      </c>
      <c r="AA48" s="131" t="s">
        <v>228</v>
      </c>
      <c r="AC48" s="490" t="s">
        <v>20</v>
      </c>
      <c r="AD48" s="491"/>
      <c r="AE48" s="131">
        <f>0.006*10000</f>
        <v>60</v>
      </c>
      <c r="AF48" s="131" t="s">
        <v>228</v>
      </c>
    </row>
    <row r="49" spans="25:32" x14ac:dyDescent="0.25">
      <c r="Y49" s="131" t="s">
        <v>55</v>
      </c>
      <c r="Z49" s="131">
        <v>855</v>
      </c>
      <c r="AA49" s="131" t="s">
        <v>228</v>
      </c>
      <c r="AC49" s="490" t="s">
        <v>34</v>
      </c>
      <c r="AD49" s="491"/>
      <c r="AE49" s="131">
        <f>0.002*10000</f>
        <v>20</v>
      </c>
      <c r="AF49" s="131" t="s">
        <v>228</v>
      </c>
    </row>
    <row r="50" spans="25:32" x14ac:dyDescent="0.25">
      <c r="Y50" s="131" t="s">
        <v>51</v>
      </c>
      <c r="Z50" s="131">
        <v>4000</v>
      </c>
      <c r="AA50" s="131" t="s">
        <v>228</v>
      </c>
      <c r="AC50" s="490" t="s">
        <v>18</v>
      </c>
      <c r="AD50" s="491"/>
      <c r="AE50" s="131">
        <f>0.004*10000</f>
        <v>40</v>
      </c>
      <c r="AF50" s="131" t="s">
        <v>228</v>
      </c>
    </row>
    <row r="51" spans="25:32" x14ac:dyDescent="0.25">
      <c r="Y51" s="131" t="s">
        <v>17</v>
      </c>
      <c r="Z51" s="131"/>
      <c r="AA51" s="131" t="s">
        <v>228</v>
      </c>
      <c r="AC51" s="490" t="s">
        <v>298</v>
      </c>
      <c r="AD51" s="491"/>
      <c r="AE51" s="131" t="s">
        <v>56</v>
      </c>
      <c r="AF51" s="131"/>
    </row>
    <row r="52" spans="25:32" x14ac:dyDescent="0.25">
      <c r="Y52" s="195" t="s">
        <v>23</v>
      </c>
      <c r="Z52" s="195">
        <f>($L$15/$L$31)*Z48+($L$15/$L$32)*Z49</f>
        <v>1654.4565848832312</v>
      </c>
      <c r="AA52" s="195" t="s">
        <v>228</v>
      </c>
      <c r="AC52" s="490" t="s">
        <v>299</v>
      </c>
      <c r="AD52" s="491"/>
      <c r="AE52" s="131" t="s">
        <v>56</v>
      </c>
      <c r="AF52" s="131"/>
    </row>
    <row r="53" spans="25:32" x14ac:dyDescent="0.25">
      <c r="Y53" s="195" t="s">
        <v>13</v>
      </c>
      <c r="Z53" s="195">
        <f>3*Z48*($L$5/$L$31)+4*Z50*($L$5/$L$30)</f>
        <v>6089.8915289524521</v>
      </c>
      <c r="AA53" s="195" t="s">
        <v>228</v>
      </c>
      <c r="AC53" s="490" t="s">
        <v>300</v>
      </c>
      <c r="AD53" s="491"/>
      <c r="AE53" s="131" t="s">
        <v>56</v>
      </c>
      <c r="AF53" s="131"/>
    </row>
    <row r="54" spans="25:32" ht="15.75" thickBot="1" x14ac:dyDescent="0.3">
      <c r="Y54" s="195" t="s">
        <v>19</v>
      </c>
      <c r="Z54" s="195">
        <f>Z50*($L$11/$L$30)</f>
        <v>1304.5516037677041</v>
      </c>
      <c r="AA54" s="195" t="s">
        <v>228</v>
      </c>
    </row>
    <row r="55" spans="25:32" ht="15.75" thickBot="1" x14ac:dyDescent="0.3">
      <c r="Y55" s="195" t="s">
        <v>14</v>
      </c>
      <c r="Z55" s="195">
        <f>4*Z49*($L$6/$L$32)</f>
        <v>191.10028239661256</v>
      </c>
      <c r="AA55" s="195" t="s">
        <v>228</v>
      </c>
      <c r="AC55" s="494" t="s">
        <v>301</v>
      </c>
      <c r="AD55" s="495"/>
      <c r="AE55" s="495"/>
      <c r="AF55" s="496"/>
    </row>
    <row r="56" spans="25:32" ht="15.75" thickBot="1" x14ac:dyDescent="0.3">
      <c r="AC56" s="497" t="s">
        <v>302</v>
      </c>
      <c r="AD56" s="498"/>
      <c r="AE56" s="214">
        <f>3*10000</f>
        <v>30000</v>
      </c>
      <c r="AF56" s="214" t="s">
        <v>228</v>
      </c>
    </row>
    <row r="57" spans="25:32" ht="15.75" thickBot="1" x14ac:dyDescent="0.3">
      <c r="Y57" s="513" t="s">
        <v>272</v>
      </c>
      <c r="Z57" s="514"/>
      <c r="AA57" s="515"/>
      <c r="AC57" s="490" t="s">
        <v>303</v>
      </c>
      <c r="AD57" s="491"/>
      <c r="AE57" s="131">
        <f>0.19*10000</f>
        <v>1900</v>
      </c>
      <c r="AF57" s="131" t="s">
        <v>228</v>
      </c>
    </row>
    <row r="58" spans="25:32" ht="15.75" customHeight="1" x14ac:dyDescent="0.25">
      <c r="Y58" s="131" t="s">
        <v>273</v>
      </c>
      <c r="Z58" s="131">
        <v>3000</v>
      </c>
      <c r="AA58" s="131" t="s">
        <v>228</v>
      </c>
      <c r="AC58" s="490" t="s">
        <v>34</v>
      </c>
      <c r="AD58" s="491"/>
      <c r="AE58" s="131">
        <f>0.0005*10000</f>
        <v>5</v>
      </c>
      <c r="AF58" s="131" t="s">
        <v>228</v>
      </c>
    </row>
    <row r="59" spans="25:32" x14ac:dyDescent="0.25">
      <c r="Y59" s="131" t="s">
        <v>54</v>
      </c>
      <c r="Z59" s="131">
        <v>4385</v>
      </c>
      <c r="AA59" s="131" t="s">
        <v>228</v>
      </c>
      <c r="AC59" s="490" t="s">
        <v>304</v>
      </c>
      <c r="AD59" s="491"/>
      <c r="AE59" s="131" t="s">
        <v>56</v>
      </c>
      <c r="AF59" s="131"/>
    </row>
    <row r="60" spans="25:32" x14ac:dyDescent="0.25">
      <c r="Y60" s="131" t="s">
        <v>55</v>
      </c>
      <c r="Z60" s="131">
        <v>110</v>
      </c>
      <c r="AA60" s="131" t="s">
        <v>228</v>
      </c>
      <c r="AC60" s="492" t="s">
        <v>15</v>
      </c>
      <c r="AD60" s="493"/>
      <c r="AE60" s="195">
        <f>AE56*2*L7/L44</f>
        <v>24904.433309270033</v>
      </c>
      <c r="AF60" s="195" t="s">
        <v>228</v>
      </c>
    </row>
    <row r="61" spans="25:32" x14ac:dyDescent="0.25">
      <c r="Y61" s="131" t="s">
        <v>51</v>
      </c>
      <c r="Z61" s="131">
        <v>2450</v>
      </c>
      <c r="AA61" s="131" t="s">
        <v>228</v>
      </c>
      <c r="AC61" s="492" t="s">
        <v>13</v>
      </c>
      <c r="AD61" s="493"/>
      <c r="AE61" s="195">
        <f>AE56*L5/L44</f>
        <v>5095.5666907299674</v>
      </c>
      <c r="AF61" s="195" t="s">
        <v>228</v>
      </c>
    </row>
    <row r="62" spans="25:32" x14ac:dyDescent="0.25">
      <c r="Y62" s="131" t="s">
        <v>17</v>
      </c>
      <c r="Z62" s="131"/>
      <c r="AA62" s="131" t="s">
        <v>228</v>
      </c>
    </row>
    <row r="63" spans="25:32" x14ac:dyDescent="0.25">
      <c r="Y63" s="195" t="s">
        <v>23</v>
      </c>
      <c r="Z63" s="195">
        <f>($L$15/$L$31)*Z59+($L$15/$L$32)*Z60</f>
        <v>1075.9708660358353</v>
      </c>
      <c r="AA63" s="195" t="s">
        <v>228</v>
      </c>
    </row>
    <row r="64" spans="25:32" x14ac:dyDescent="0.25">
      <c r="Y64" s="195" t="s">
        <v>13</v>
      </c>
      <c r="Z64" s="195">
        <f>3*Z59*($L$5/$L$31)+4*Z61*($L$5/$L$30)</f>
        <v>5045.4052754124377</v>
      </c>
      <c r="AA64" s="195" t="s">
        <v>228</v>
      </c>
    </row>
    <row r="65" spans="25:27" x14ac:dyDescent="0.25">
      <c r="Y65" s="195" t="s">
        <v>19</v>
      </c>
      <c r="Z65" s="195">
        <f>Z61*($L$11/$L$30)</f>
        <v>799.0378573077187</v>
      </c>
      <c r="AA65" s="195" t="s">
        <v>228</v>
      </c>
    </row>
    <row r="66" spans="25:27" x14ac:dyDescent="0.25">
      <c r="Y66" s="195" t="s">
        <v>14</v>
      </c>
      <c r="Z66" s="195">
        <f>4*Z60*($L$6/$L$32)</f>
        <v>24.586001244008635</v>
      </c>
      <c r="AA66" s="195" t="s">
        <v>228</v>
      </c>
    </row>
  </sheetData>
  <sheetProtection password="A16E" sheet="1" objects="1" scenarios="1"/>
  <mergeCells count="75">
    <mergeCell ref="Y2:AA2"/>
    <mergeCell ref="Y24:AA24"/>
    <mergeCell ref="Y35:AA35"/>
    <mergeCell ref="Y46:AA46"/>
    <mergeCell ref="AC2:AF2"/>
    <mergeCell ref="AC23:AF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25:C25"/>
    <mergeCell ref="A24:C24"/>
    <mergeCell ref="AH3:AH8"/>
    <mergeCell ref="AH11:AH19"/>
    <mergeCell ref="Y57:AA57"/>
    <mergeCell ref="Y13:AA13"/>
    <mergeCell ref="A13:C13"/>
    <mergeCell ref="P23:P24"/>
    <mergeCell ref="Q23:Q24"/>
    <mergeCell ref="A15:C15"/>
    <mergeCell ref="A16:C16"/>
    <mergeCell ref="A17:C17"/>
    <mergeCell ref="P12:R12"/>
    <mergeCell ref="A8:C8"/>
    <mergeCell ref="A9:C9"/>
    <mergeCell ref="A10:C10"/>
    <mergeCell ref="P2:R2"/>
    <mergeCell ref="A2:C2"/>
    <mergeCell ref="A3:C3"/>
    <mergeCell ref="A4:C4"/>
    <mergeCell ref="A7:C7"/>
    <mergeCell ref="A11:C11"/>
    <mergeCell ref="A12:C12"/>
    <mergeCell ref="A5:C5"/>
    <mergeCell ref="A6:C6"/>
    <mergeCell ref="I11:I18"/>
    <mergeCell ref="A14:C14"/>
    <mergeCell ref="A18:C18"/>
    <mergeCell ref="U24:W24"/>
    <mergeCell ref="U27:W27"/>
    <mergeCell ref="U33:W33"/>
    <mergeCell ref="U2:W2"/>
    <mergeCell ref="U21:W21"/>
    <mergeCell ref="AC34:AD34"/>
    <mergeCell ref="AC35:AD35"/>
    <mergeCell ref="AC39:AF39"/>
    <mergeCell ref="AC40:AD40"/>
    <mergeCell ref="AC41:AD41"/>
    <mergeCell ref="AC42:AD42"/>
    <mergeCell ref="AC48:AD48"/>
    <mergeCell ref="AC49:AD49"/>
    <mergeCell ref="AC50:AD50"/>
    <mergeCell ref="AC36:AD36"/>
    <mergeCell ref="AC37:AD37"/>
    <mergeCell ref="AC43:AD43"/>
    <mergeCell ref="AC44:AD44"/>
    <mergeCell ref="AC45:AD45"/>
    <mergeCell ref="AC46:AD46"/>
    <mergeCell ref="AC47:AD47"/>
    <mergeCell ref="AC51:AD51"/>
    <mergeCell ref="AC52:AD52"/>
    <mergeCell ref="AC53:AD53"/>
    <mergeCell ref="AC55:AF55"/>
    <mergeCell ref="AC56:AD56"/>
    <mergeCell ref="AC57:AD57"/>
    <mergeCell ref="AC58:AD58"/>
    <mergeCell ref="AC59:AD59"/>
    <mergeCell ref="AC60:AD60"/>
    <mergeCell ref="AC61:AD61"/>
  </mergeCells>
  <pageMargins left="0.7" right="0.7" top="0.75" bottom="0.75" header="0.3" footer="0.3"/>
  <pageSetup paperSize="9" orientation="portrait" horizontalDpi="300" verticalDpi="300" copies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78"/>
  <sheetViews>
    <sheetView zoomScale="85" zoomScaleNormal="85" workbookViewId="0">
      <pane ySplit="2" topLeftCell="A3" activePane="bottomLeft" state="frozen"/>
      <selection activeCell="D42" sqref="D42"/>
      <selection pane="bottomLeft" activeCell="D47" sqref="D47:D48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thickBot="1" x14ac:dyDescent="0.3">
      <c r="A1" s="463" t="s">
        <v>147</v>
      </c>
      <c r="B1" s="463"/>
      <c r="C1" s="463"/>
      <c r="D1" s="463"/>
      <c r="E1" s="463"/>
      <c r="F1" s="463"/>
      <c r="G1" s="44"/>
      <c r="H1" s="464" t="s">
        <v>10</v>
      </c>
      <c r="I1" s="466" t="s">
        <v>199</v>
      </c>
      <c r="J1" s="461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61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53" t="s">
        <v>49</v>
      </c>
      <c r="AV1" s="455" t="s">
        <v>154</v>
      </c>
      <c r="AW1" s="455" t="s">
        <v>155</v>
      </c>
      <c r="AX1" s="457" t="s">
        <v>156</v>
      </c>
      <c r="AY1" s="45"/>
      <c r="AZ1" s="46"/>
    </row>
    <row r="2" spans="1:52" ht="64.5" thickBot="1" x14ac:dyDescent="0.3">
      <c r="A2" s="468" t="s">
        <v>47</v>
      </c>
      <c r="B2" s="469"/>
      <c r="C2" s="469"/>
      <c r="D2" s="310" t="s">
        <v>48</v>
      </c>
      <c r="E2" s="310" t="s">
        <v>52</v>
      </c>
      <c r="F2" s="47" t="s">
        <v>53</v>
      </c>
      <c r="G2" s="48"/>
      <c r="H2" s="465"/>
      <c r="I2" s="46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54"/>
      <c r="AV2" s="456"/>
      <c r="AW2" s="456"/>
      <c r="AX2" s="458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 t="str">
        <f t="shared" ref="AU3:AU33" si="0">IF($D$43=0, "---", SUM(AF3:AT3)+(SUM(J3:AE3)*1000)/($E$43/1000))</f>
        <v>---</v>
      </c>
      <c r="AV3" s="161" t="str">
        <f t="shared" ref="AV3:AV33" si="1">IF($AV$78=0,"ziadne akva",IF($D$43=0,"ziadny roztok",IF($D$47=0,"ziadna davka",((AU3*$D$47)/($AV$78*1000)))))</f>
        <v>ziadny roztok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 t="str">
        <f t="shared" si="0"/>
        <v>---</v>
      </c>
      <c r="AV4" s="163" t="str">
        <f t="shared" si="1"/>
        <v>ziadny roztok</v>
      </c>
      <c r="AW4" s="163" t="str">
        <f t="shared" ref="AW4:AW33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</v>
      </c>
      <c r="P5" s="116">
        <f>I5*E9*3</f>
        <v>0</v>
      </c>
      <c r="Q5" s="116">
        <f>I5*E10*(4+7)</f>
        <v>0</v>
      </c>
      <c r="R5" s="116">
        <f>I5*E11*3</f>
        <v>0</v>
      </c>
      <c r="S5" s="116">
        <f>I5*E12*4</f>
        <v>0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 t="str">
        <f t="shared" si="0"/>
        <v>---</v>
      </c>
      <c r="AV5" s="163" t="str">
        <f t="shared" si="1"/>
        <v>ziadny roztok</v>
      </c>
      <c r="AW5" s="163" t="str">
        <f t="shared" si="2"/>
        <v>ziadne akva</v>
      </c>
      <c r="AX5" s="164" t="str">
        <f t="shared" ref="AX5:AX27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0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 t="str">
        <f t="shared" si="0"/>
        <v>---</v>
      </c>
      <c r="AV6" s="163" t="str">
        <f t="shared" si="1"/>
        <v>ziadny roztok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</v>
      </c>
      <c r="P7" s="116">
        <f>I7*E9</f>
        <v>0</v>
      </c>
      <c r="Q7" s="117"/>
      <c r="R7" s="117"/>
      <c r="S7" s="116">
        <f>I7*E12</f>
        <v>0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 t="str">
        <f t="shared" si="0"/>
        <v>---</v>
      </c>
      <c r="AV7" s="163" t="str">
        <f t="shared" si="1"/>
        <v>ziadny roztok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/>
      <c r="E8" s="110">
        <f>D8/'pomocne tabulky'!D8</f>
        <v>0</v>
      </c>
      <c r="F8" s="115">
        <f>IF(D8=0, 0, ((100/'pomocne tabulky'!$Q$23)/('pomocne tabulky'!G8/D8)))</f>
        <v>0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 t="str">
        <f t="shared" si="0"/>
        <v>---</v>
      </c>
      <c r="AV8" s="163" t="str">
        <f t="shared" si="1"/>
        <v>ziadny roztok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/>
      <c r="E9" s="110">
        <f>D9/'pomocne tabulky'!D9</f>
        <v>0</v>
      </c>
      <c r="F9" s="115">
        <f>IF(D9=0, 0, ((100/'pomocne tabulky'!$Q$23)/('pomocne tabulky'!G9/D9)))</f>
        <v>0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187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 t="str">
        <f t="shared" si="0"/>
        <v>---</v>
      </c>
      <c r="AV9" s="163" t="str">
        <f t="shared" si="1"/>
        <v>ziadny roztok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 t="str">
        <f t="shared" si="0"/>
        <v>---</v>
      </c>
      <c r="AV10" s="163" t="str">
        <f t="shared" si="1"/>
        <v>ziadny roztok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 t="str">
        <f t="shared" si="0"/>
        <v>---</v>
      </c>
      <c r="AV11" s="163" t="str">
        <f t="shared" si="1"/>
        <v>ziadny roztok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/>
      <c r="E12" s="110">
        <f>D12/'pomocne tabulky'!D12</f>
        <v>0</v>
      </c>
      <c r="F12" s="115">
        <f>IF(D12=0, 0, ((100/'pomocne tabulky'!$Q$23)/('pomocne tabulky'!G12/D12)))</f>
        <v>0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 t="str">
        <f t="shared" si="0"/>
        <v>---</v>
      </c>
      <c r="AV12" s="163" t="str">
        <f t="shared" si="1"/>
        <v>ziadny roztok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 t="str">
        <f t="shared" si="0"/>
        <v>---</v>
      </c>
      <c r="AV13" s="163" t="str">
        <f t="shared" si="1"/>
        <v>ziadny roztok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 t="str">
        <f t="shared" si="0"/>
        <v>---</v>
      </c>
      <c r="AV14" s="163" t="str">
        <f t="shared" si="1"/>
        <v>ziadny roztok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 t="str">
        <f t="shared" si="0"/>
        <v>---</v>
      </c>
      <c r="AV15" s="163" t="str">
        <f t="shared" si="1"/>
        <v>ziadny roztok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 t="str">
        <f t="shared" si="0"/>
        <v>---</v>
      </c>
      <c r="AV16" s="163" t="str">
        <f t="shared" si="1"/>
        <v>ziadny roztok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 t="str">
        <f t="shared" si="0"/>
        <v>---</v>
      </c>
      <c r="AV17" s="163" t="str">
        <f t="shared" si="1"/>
        <v>ziadny roztok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 t="str">
        <f t="shared" si="0"/>
        <v>---</v>
      </c>
      <c r="AV18" s="163" t="str">
        <f t="shared" si="1"/>
        <v>ziadny roztok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 t="str">
        <f t="shared" si="0"/>
        <v>---</v>
      </c>
      <c r="AV19" s="163" t="str">
        <f t="shared" si="1"/>
        <v>ziadny roztok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 t="str">
        <f t="shared" si="0"/>
        <v>---</v>
      </c>
      <c r="AV20" s="163" t="str">
        <f t="shared" si="1"/>
        <v>ziadny roztok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 t="str">
        <f t="shared" si="0"/>
        <v>---</v>
      </c>
      <c r="AV21" s="163" t="str">
        <f t="shared" si="1"/>
        <v>ziadny roztok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 t="str">
        <f t="shared" si="0"/>
        <v>---</v>
      </c>
      <c r="AV22" s="163" t="str">
        <f t="shared" si="1"/>
        <v>ziadny roztok</v>
      </c>
      <c r="AW22" s="163" t="str">
        <f t="shared" si="2"/>
        <v>ziadne akva</v>
      </c>
      <c r="AX22" s="164" t="str">
        <f t="shared" si="3"/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 t="str">
        <f t="shared" si="0"/>
        <v>---</v>
      </c>
      <c r="AV23" s="163" t="str">
        <f t="shared" si="1"/>
        <v>ziadny roztok</v>
      </c>
      <c r="AW23" s="163" t="str">
        <f t="shared" si="2"/>
        <v>ziadne akva</v>
      </c>
      <c r="AX23" s="164" t="str">
        <f t="shared" si="3"/>
        <v>ziadne akva</v>
      </c>
      <c r="AY23" s="45"/>
      <c r="AZ23" s="46"/>
    </row>
    <row r="24" spans="1:52" ht="1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 t="str">
        <f t="shared" si="0"/>
        <v>---</v>
      </c>
      <c r="AV24" s="163" t="str">
        <f t="shared" si="1"/>
        <v>ziadny roztok</v>
      </c>
      <c r="AW24" s="163" t="str">
        <f t="shared" si="2"/>
        <v>ziadne akva</v>
      </c>
      <c r="AX24" s="164" t="str">
        <f t="shared" si="3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 t="str">
        <f t="shared" si="0"/>
        <v>---</v>
      </c>
      <c r="AV25" s="163" t="str">
        <f t="shared" si="1"/>
        <v>ziadny roztok</v>
      </c>
      <c r="AW25" s="163" t="str">
        <f t="shared" si="2"/>
        <v>ziadne akva</v>
      </c>
      <c r="AX25" s="164" t="str">
        <f t="shared" si="3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 t="str">
        <f t="shared" si="0"/>
        <v>---</v>
      </c>
      <c r="AV26" s="163" t="str">
        <f t="shared" si="1"/>
        <v>ziadny roztok</v>
      </c>
      <c r="AW26" s="163" t="str">
        <f t="shared" si="2"/>
        <v>ziadne akva</v>
      </c>
      <c r="AX26" s="164" t="str">
        <f t="shared" si="3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 t="str">
        <f t="shared" si="0"/>
        <v>---</v>
      </c>
      <c r="AV27" s="163" t="str">
        <f t="shared" si="1"/>
        <v>ziadny roztok</v>
      </c>
      <c r="AW27" s="163" t="str">
        <f t="shared" si="2"/>
        <v>ziadne akva</v>
      </c>
      <c r="AX27" s="164" t="str">
        <f t="shared" si="3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 t="str">
        <f t="shared" si="0"/>
        <v>---</v>
      </c>
      <c r="AV28" s="165" t="str">
        <f t="shared" si="1"/>
        <v>ziadny roztok</v>
      </c>
      <c r="AW28" s="165" t="str">
        <f t="shared" si="2"/>
        <v>ziadne akva</v>
      </c>
      <c r="AX28" s="166" t="str">
        <f t="shared" ref="AX28:AX33" si="4">IF($AX$78=0,"ziadne akva",IF($D$43=0,"ziadny roztok",IF($D$51=0,"ziadna davka",((AU27*$D$51)/($AX$78*1000)))))</f>
        <v>ziadne akva</v>
      </c>
      <c r="AY28" s="45"/>
      <c r="AZ28" s="46"/>
    </row>
    <row r="29" spans="1:52" ht="1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0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 t="str">
        <f t="shared" si="0"/>
        <v>---</v>
      </c>
      <c r="AV29" s="167" t="str">
        <f t="shared" si="1"/>
        <v>ziadny roztok</v>
      </c>
      <c r="AW29" s="167" t="str">
        <f t="shared" si="2"/>
        <v>ziadne akva</v>
      </c>
      <c r="AX29" s="168" t="str">
        <f t="shared" si="4"/>
        <v>ziadne akva</v>
      </c>
      <c r="AY29" s="45"/>
      <c r="AZ29" s="46"/>
    </row>
    <row r="30" spans="1:52" ht="1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 t="str">
        <f t="shared" si="0"/>
        <v>---</v>
      </c>
      <c r="AV30" s="163" t="str">
        <f t="shared" si="1"/>
        <v>ziadny roztok</v>
      </c>
      <c r="AW30" s="163" t="str">
        <f t="shared" si="2"/>
        <v>ziadne akva</v>
      </c>
      <c r="AX30" s="164" t="str">
        <f t="shared" si="4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0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 t="str">
        <f t="shared" si="0"/>
        <v>---</v>
      </c>
      <c r="AV31" s="163" t="str">
        <f t="shared" si="1"/>
        <v>ziadny roztok</v>
      </c>
      <c r="AW31" s="163" t="str">
        <f t="shared" si="2"/>
        <v>ziadne akva</v>
      </c>
      <c r="AX31" s="164" t="str">
        <f t="shared" si="4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 t="str">
        <f t="shared" si="0"/>
        <v>---</v>
      </c>
      <c r="AV32" s="163" t="str">
        <f t="shared" si="1"/>
        <v>ziadny roztok</v>
      </c>
      <c r="AW32" s="163" t="str">
        <f t="shared" si="2"/>
        <v>ziadne akva</v>
      </c>
      <c r="AX32" s="164" t="str">
        <f t="shared" si="4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 t="str">
        <f t="shared" si="0"/>
        <v>---</v>
      </c>
      <c r="AV33" s="163" t="str">
        <f t="shared" si="1"/>
        <v>ziadny roztok</v>
      </c>
      <c r="AW33" s="163" t="str">
        <f t="shared" si="2"/>
        <v>ziadne akva</v>
      </c>
      <c r="AX33" s="164" t="str">
        <f t="shared" si="4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.75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0</v>
      </c>
      <c r="E40" s="112" t="s">
        <v>56</v>
      </c>
      <c r="F40" s="126">
        <f>SUM(F3:F21)</f>
        <v>0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/>
      <c r="E43" s="442">
        <f>E44/'pomocne tabulky'!Q23</f>
        <v>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0</v>
      </c>
      <c r="E44" s="442">
        <f>D44+SUM(J34:AE34)</f>
        <v>0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0</v>
      </c>
      <c r="E45" s="442">
        <f>(E44/'pomocne tabulky'!D18)</f>
        <v>0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x14ac:dyDescent="0.25">
      <c r="A47" s="439" t="s">
        <v>135</v>
      </c>
      <c r="B47" s="439"/>
      <c r="C47" s="439"/>
      <c r="D47" s="440"/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/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A4:C4"/>
    <mergeCell ref="A1:F1"/>
    <mergeCell ref="H1:H2"/>
    <mergeCell ref="I1:I2"/>
    <mergeCell ref="J1:AE1"/>
    <mergeCell ref="AV1:AV2"/>
    <mergeCell ref="AW1:AW2"/>
    <mergeCell ref="AX1:AX2"/>
    <mergeCell ref="A2:C2"/>
    <mergeCell ref="A3:C3"/>
    <mergeCell ref="AF1:AT1"/>
    <mergeCell ref="AU1:AU2"/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33:C33"/>
    <mergeCell ref="A17:C17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H37:AX52"/>
    <mergeCell ref="A38:C38"/>
    <mergeCell ref="A39:C39"/>
    <mergeCell ref="A40:C40"/>
    <mergeCell ref="A42:C42"/>
    <mergeCell ref="E42:F42"/>
    <mergeCell ref="A43:C43"/>
    <mergeCell ref="E43:F43"/>
    <mergeCell ref="A44:C44"/>
    <mergeCell ref="E44:F44"/>
    <mergeCell ref="A45:C45"/>
    <mergeCell ref="E45:F45"/>
    <mergeCell ref="A47:C48"/>
    <mergeCell ref="D47:D48"/>
    <mergeCell ref="A49:C50"/>
    <mergeCell ref="D49:D50"/>
    <mergeCell ref="A51:C52"/>
    <mergeCell ref="D51:D52"/>
  </mergeCells>
  <conditionalFormatting sqref="A47:C48 AV1:AV2 AV77">
    <cfRule type="expression" dxfId="13" priority="14">
      <formula>$AV$78</formula>
    </cfRule>
  </conditionalFormatting>
  <conditionalFormatting sqref="A49:C50 AW1:AW2 AW77">
    <cfRule type="expression" dxfId="12" priority="13">
      <formula>$AW$78</formula>
    </cfRule>
  </conditionalFormatting>
  <conditionalFormatting sqref="A51:C52 AX77 AX1:AX2">
    <cfRule type="expression" dxfId="11" priority="12">
      <formula>$AX$78</formula>
    </cfRule>
  </conditionalFormatting>
  <conditionalFormatting sqref="AX3:AX35 D51:D52">
    <cfRule type="expression" dxfId="10" priority="11">
      <formula>($AX$78=0)</formula>
    </cfRule>
  </conditionalFormatting>
  <conditionalFormatting sqref="AW3:AW35 D49:D50">
    <cfRule type="expression" dxfId="9" priority="10">
      <formula>($AW$78=0)</formula>
    </cfRule>
  </conditionalFormatting>
  <conditionalFormatting sqref="AV22:AV35 AV3:AW21 D47:D48">
    <cfRule type="expression" dxfId="8" priority="9">
      <formula>($AV$78=0)</formula>
    </cfRule>
  </conditionalFormatting>
  <conditionalFormatting sqref="AX22:AX35">
    <cfRule type="expression" dxfId="7" priority="8">
      <formula>($AX$78=0)</formula>
    </cfRule>
  </conditionalFormatting>
  <conditionalFormatting sqref="AW22:AW35">
    <cfRule type="expression" dxfId="6" priority="7">
      <formula>($AW$78=0)</formula>
    </cfRule>
  </conditionalFormatting>
  <conditionalFormatting sqref="AX22:AX33">
    <cfRule type="expression" dxfId="5" priority="6">
      <formula>($AX$78=0)</formula>
    </cfRule>
  </conditionalFormatting>
  <conditionalFormatting sqref="AW22:AW33">
    <cfRule type="expression" dxfId="4" priority="5">
      <formula>($AW$78=0)</formula>
    </cfRule>
  </conditionalFormatting>
  <conditionalFormatting sqref="AX22:AX33">
    <cfRule type="expression" dxfId="3" priority="4">
      <formula>($AX$78=0)</formula>
    </cfRule>
  </conditionalFormatting>
  <conditionalFormatting sqref="AW22:AW33">
    <cfRule type="expression" dxfId="2" priority="3">
      <formula>($AW$78=0)</formula>
    </cfRule>
  </conditionalFormatting>
  <conditionalFormatting sqref="AW22:AW33">
    <cfRule type="expression" dxfId="1" priority="2">
      <formula>($AV$78=0)</formula>
    </cfRule>
  </conditionalFormatting>
  <conditionalFormatting sqref="AW22:AW33">
    <cfRule type="expression" dxfId="0" priority="1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3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topLeftCell="A17" zoomScaleSheetLayoutView="100" workbookViewId="0">
      <selection activeCell="A37" sqref="A37:G38"/>
    </sheetView>
  </sheetViews>
  <sheetFormatPr defaultColWidth="9.140625" defaultRowHeight="15" customHeight="1" x14ac:dyDescent="0.25"/>
  <cols>
    <col min="1" max="1" width="20.42578125" style="25" customWidth="1"/>
    <col min="2" max="2" width="1.42578125" style="25" customWidth="1"/>
    <col min="3" max="3" width="74.7109375" style="25" customWidth="1"/>
    <col min="4" max="4" width="11.5703125" style="25" bestFit="1" customWidth="1"/>
    <col min="5" max="5" width="9.140625" style="25"/>
    <col min="6" max="6" width="12.85546875" style="25" customWidth="1"/>
    <col min="7" max="16384" width="9.140625" style="25"/>
  </cols>
  <sheetData>
    <row r="1" spans="1:7" ht="33" customHeight="1" x14ac:dyDescent="0.25">
      <c r="A1" s="537" t="s">
        <v>96</v>
      </c>
      <c r="B1" s="537"/>
      <c r="C1" s="537"/>
      <c r="D1" s="537"/>
      <c r="E1" s="537"/>
      <c r="F1" s="537"/>
      <c r="G1" s="537"/>
    </row>
    <row r="2" spans="1:7" ht="6.75" customHeight="1" x14ac:dyDescent="0.25">
      <c r="A2" s="24"/>
      <c r="B2" s="24"/>
    </row>
    <row r="3" spans="1:7" ht="14.25" customHeight="1" x14ac:dyDescent="0.25">
      <c r="A3" s="32" t="s">
        <v>97</v>
      </c>
      <c r="B3" s="28"/>
      <c r="C3" s="28" t="s">
        <v>98</v>
      </c>
    </row>
    <row r="4" spans="1:7" ht="15" customHeight="1" x14ac:dyDescent="0.25">
      <c r="A4" s="9" t="s">
        <v>56</v>
      </c>
      <c r="B4" s="29"/>
      <c r="C4" s="34" t="s">
        <v>101</v>
      </c>
    </row>
    <row r="5" spans="1:7" ht="15" customHeight="1" x14ac:dyDescent="0.25">
      <c r="A5" s="3">
        <v>0.98645700000000003</v>
      </c>
      <c r="B5" s="30"/>
      <c r="C5" s="34" t="s">
        <v>99</v>
      </c>
    </row>
    <row r="6" spans="1:7" ht="15" customHeight="1" x14ac:dyDescent="0.25">
      <c r="A6" s="2">
        <v>0.87564500000000001</v>
      </c>
      <c r="B6" s="31"/>
      <c r="C6" s="34" t="s">
        <v>111</v>
      </c>
    </row>
    <row r="7" spans="1:7" ht="15" customHeight="1" x14ac:dyDescent="0.25">
      <c r="A7" s="4">
        <v>0.76439999999999997</v>
      </c>
      <c r="B7" s="31"/>
      <c r="C7" s="34" t="s">
        <v>112</v>
      </c>
    </row>
    <row r="8" spans="1:7" ht="15" customHeight="1" x14ac:dyDescent="0.25">
      <c r="A8" s="1">
        <v>0.12345</v>
      </c>
      <c r="B8" s="31"/>
      <c r="C8" s="34" t="s">
        <v>113</v>
      </c>
    </row>
    <row r="9" spans="1:7" ht="15" customHeight="1" x14ac:dyDescent="0.25">
      <c r="A9" s="5">
        <v>9.8000000000000004E-2</v>
      </c>
      <c r="B9" s="31"/>
      <c r="C9" s="34" t="s">
        <v>114</v>
      </c>
    </row>
    <row r="10" spans="1:7" ht="15" customHeight="1" x14ac:dyDescent="0.25">
      <c r="A10" s="8" t="s">
        <v>140</v>
      </c>
      <c r="B10" s="31"/>
      <c r="C10" s="34" t="s">
        <v>138</v>
      </c>
    </row>
    <row r="11" spans="1:7" ht="15" customHeight="1" x14ac:dyDescent="0.25">
      <c r="A11" s="7" t="s">
        <v>139</v>
      </c>
      <c r="B11" s="31"/>
      <c r="C11" s="34" t="s">
        <v>142</v>
      </c>
    </row>
    <row r="12" spans="1:7" ht="15" customHeight="1" x14ac:dyDescent="0.25">
      <c r="A12" s="6" t="s">
        <v>141</v>
      </c>
      <c r="B12" s="31"/>
      <c r="C12" s="34" t="s">
        <v>143</v>
      </c>
    </row>
    <row r="13" spans="1:7" ht="15" customHeight="1" x14ac:dyDescent="0.25">
      <c r="A13" s="10" t="s">
        <v>152</v>
      </c>
      <c r="B13" s="31"/>
      <c r="C13" s="34" t="s">
        <v>153</v>
      </c>
    </row>
    <row r="14" spans="1:7" ht="15" customHeight="1" x14ac:dyDescent="0.25">
      <c r="A14" s="101" t="s">
        <v>214</v>
      </c>
      <c r="B14" s="31"/>
      <c r="C14" s="361" t="s">
        <v>365</v>
      </c>
    </row>
    <row r="15" spans="1:7" ht="15" customHeight="1" x14ac:dyDescent="0.25">
      <c r="A15" s="33"/>
    </row>
    <row r="16" spans="1:7" ht="15" customHeight="1" x14ac:dyDescent="0.25">
      <c r="A16" s="532" t="s">
        <v>185</v>
      </c>
      <c r="B16" s="532"/>
      <c r="C16" s="532"/>
    </row>
    <row r="17" spans="1:7" ht="15" customHeight="1" x14ac:dyDescent="0.25">
      <c r="A17" s="524" t="s">
        <v>206</v>
      </c>
      <c r="B17" s="525"/>
      <c r="C17" s="525"/>
      <c r="D17" s="525"/>
      <c r="E17" s="525"/>
      <c r="F17" s="525"/>
      <c r="G17" s="525"/>
    </row>
    <row r="18" spans="1:7" ht="15" customHeight="1" x14ac:dyDescent="0.25">
      <c r="A18" s="524" t="s">
        <v>207</v>
      </c>
      <c r="B18" s="525"/>
      <c r="C18" s="525"/>
      <c r="D18" s="525"/>
      <c r="E18" s="525"/>
      <c r="F18" s="525"/>
      <c r="G18" s="525"/>
    </row>
    <row r="19" spans="1:7" ht="15" customHeight="1" x14ac:dyDescent="0.25">
      <c r="A19" s="524" t="s">
        <v>209</v>
      </c>
      <c r="B19" s="525"/>
      <c r="C19" s="525"/>
      <c r="D19" s="525"/>
      <c r="E19" s="525"/>
      <c r="F19" s="525"/>
      <c r="G19" s="525"/>
    </row>
    <row r="20" spans="1:7" ht="15" customHeight="1" x14ac:dyDescent="0.25">
      <c r="A20" s="526" t="s">
        <v>215</v>
      </c>
      <c r="B20" s="527"/>
      <c r="C20" s="527"/>
      <c r="D20" s="527"/>
      <c r="E20" s="527"/>
      <c r="F20" s="527"/>
      <c r="G20" s="528"/>
    </row>
    <row r="21" spans="1:7" ht="15" customHeight="1" x14ac:dyDescent="0.25">
      <c r="A21" s="529"/>
      <c r="B21" s="530"/>
      <c r="C21" s="530"/>
      <c r="D21" s="530"/>
      <c r="E21" s="530"/>
      <c r="F21" s="530"/>
      <c r="G21" s="531"/>
    </row>
    <row r="22" spans="1:7" ht="15" customHeight="1" x14ac:dyDescent="0.25">
      <c r="A22" s="524"/>
      <c r="B22" s="525"/>
      <c r="C22" s="525"/>
      <c r="D22" s="525"/>
      <c r="E22" s="525"/>
      <c r="F22" s="525"/>
      <c r="G22" s="525"/>
    </row>
    <row r="23" spans="1:7" ht="15" customHeight="1" x14ac:dyDescent="0.25">
      <c r="A23" s="524" t="s">
        <v>210</v>
      </c>
      <c r="B23" s="525"/>
      <c r="C23" s="525"/>
      <c r="D23" s="525"/>
      <c r="E23" s="525"/>
      <c r="F23" s="525"/>
      <c r="G23" s="525"/>
    </row>
    <row r="24" spans="1:7" ht="30.75" customHeight="1" x14ac:dyDescent="0.25">
      <c r="A24" s="524" t="s">
        <v>211</v>
      </c>
      <c r="B24" s="524"/>
      <c r="C24" s="524"/>
      <c r="D24" s="524"/>
      <c r="E24" s="524"/>
      <c r="F24" s="524"/>
      <c r="G24" s="524"/>
    </row>
    <row r="25" spans="1:7" ht="30.75" customHeight="1" x14ac:dyDescent="0.25">
      <c r="A25" s="534" t="s">
        <v>364</v>
      </c>
      <c r="B25" s="535"/>
      <c r="C25" s="535"/>
      <c r="D25" s="535"/>
      <c r="E25" s="535"/>
      <c r="F25" s="535"/>
      <c r="G25" s="536"/>
    </row>
    <row r="26" spans="1:7" ht="15" customHeight="1" x14ac:dyDescent="0.25">
      <c r="A26" s="533"/>
      <c r="B26" s="533"/>
      <c r="C26" s="533"/>
      <c r="D26" s="533"/>
      <c r="E26" s="533"/>
      <c r="F26" s="533"/>
      <c r="G26" s="533"/>
    </row>
    <row r="27" spans="1:7" ht="15" customHeight="1" x14ac:dyDescent="0.25">
      <c r="A27" s="525" t="s">
        <v>366</v>
      </c>
      <c r="B27" s="525"/>
      <c r="C27" s="525"/>
      <c r="D27" s="525"/>
      <c r="E27" s="525"/>
      <c r="F27" s="525"/>
      <c r="G27" s="525"/>
    </row>
    <row r="28" spans="1:7" ht="15" customHeight="1" x14ac:dyDescent="0.25">
      <c r="A28" s="525" t="s">
        <v>187</v>
      </c>
      <c r="B28" s="525"/>
      <c r="C28" s="525"/>
      <c r="D28" s="525"/>
      <c r="E28" s="525"/>
      <c r="F28" s="525"/>
      <c r="G28" s="525"/>
    </row>
    <row r="29" spans="1:7" ht="15" customHeight="1" x14ac:dyDescent="0.25">
      <c r="A29" s="525" t="s">
        <v>186</v>
      </c>
      <c r="B29" s="525"/>
      <c r="C29" s="525"/>
      <c r="D29" s="525"/>
      <c r="E29" s="525"/>
      <c r="F29" s="525"/>
      <c r="G29" s="525"/>
    </row>
    <row r="30" spans="1:7" ht="15" customHeight="1" x14ac:dyDescent="0.25">
      <c r="A30" s="525" t="s">
        <v>223</v>
      </c>
      <c r="B30" s="525"/>
      <c r="C30" s="525"/>
      <c r="D30" s="525"/>
      <c r="E30" s="525"/>
      <c r="F30" s="525"/>
      <c r="G30" s="525"/>
    </row>
    <row r="31" spans="1:7" ht="15" customHeight="1" x14ac:dyDescent="0.25">
      <c r="A31" s="525" t="s">
        <v>222</v>
      </c>
      <c r="B31" s="525"/>
      <c r="C31" s="525"/>
      <c r="D31" s="525"/>
      <c r="E31" s="525"/>
      <c r="F31" s="525"/>
      <c r="G31" s="525"/>
    </row>
    <row r="32" spans="1:7" ht="15" customHeight="1" x14ac:dyDescent="0.25">
      <c r="A32" s="525"/>
      <c r="B32" s="525"/>
      <c r="C32" s="525"/>
      <c r="D32" s="525"/>
      <c r="E32" s="525"/>
      <c r="F32" s="525"/>
      <c r="G32" s="525"/>
    </row>
    <row r="33" spans="1:7" ht="15" customHeight="1" x14ac:dyDescent="0.25">
      <c r="A33" s="532" t="s">
        <v>311</v>
      </c>
      <c r="B33" s="532"/>
      <c r="C33" s="532"/>
      <c r="D33" s="532"/>
      <c r="E33" s="532"/>
      <c r="F33" s="532"/>
      <c r="G33" s="532"/>
    </row>
    <row r="34" spans="1:7" ht="15" customHeight="1" x14ac:dyDescent="0.25">
      <c r="A34" s="526" t="s">
        <v>309</v>
      </c>
      <c r="B34" s="527"/>
      <c r="C34" s="527"/>
      <c r="D34" s="527"/>
      <c r="E34" s="527"/>
      <c r="F34" s="527"/>
      <c r="G34" s="528"/>
    </row>
    <row r="35" spans="1:7" ht="15" customHeight="1" x14ac:dyDescent="0.25">
      <c r="A35" s="529"/>
      <c r="B35" s="530"/>
      <c r="C35" s="530"/>
      <c r="D35" s="530"/>
      <c r="E35" s="530"/>
      <c r="F35" s="530"/>
      <c r="G35" s="531"/>
    </row>
    <row r="36" spans="1:7" ht="15" customHeight="1" x14ac:dyDescent="0.25">
      <c r="A36" s="524" t="s">
        <v>310</v>
      </c>
      <c r="B36" s="525"/>
      <c r="C36" s="525"/>
      <c r="D36" s="525"/>
      <c r="E36" s="525"/>
      <c r="F36" s="525"/>
      <c r="G36" s="525"/>
    </row>
    <row r="37" spans="1:7" ht="15" customHeight="1" x14ac:dyDescent="0.25">
      <c r="A37" s="526" t="s">
        <v>312</v>
      </c>
      <c r="B37" s="527"/>
      <c r="C37" s="527"/>
      <c r="D37" s="527"/>
      <c r="E37" s="527"/>
      <c r="F37" s="527"/>
      <c r="G37" s="528"/>
    </row>
    <row r="38" spans="1:7" ht="15" customHeight="1" x14ac:dyDescent="0.25">
      <c r="A38" s="529"/>
      <c r="B38" s="530"/>
      <c r="C38" s="530"/>
      <c r="D38" s="530"/>
      <c r="E38" s="530"/>
      <c r="F38" s="530"/>
      <c r="G38" s="531"/>
    </row>
    <row r="39" spans="1:7" ht="15" customHeight="1" x14ac:dyDescent="0.25">
      <c r="A39" s="524"/>
      <c r="B39" s="525"/>
      <c r="C39" s="525"/>
      <c r="D39" s="525"/>
      <c r="E39" s="525"/>
      <c r="F39" s="525"/>
      <c r="G39" s="525"/>
    </row>
  </sheetData>
  <sheetProtection password="9D4F" sheet="1" objects="1" scenarios="1"/>
  <mergeCells count="22">
    <mergeCell ref="A1:G1"/>
    <mergeCell ref="A18:G18"/>
    <mergeCell ref="A17:G17"/>
    <mergeCell ref="A19:G19"/>
    <mergeCell ref="A16:C16"/>
    <mergeCell ref="A20:G21"/>
    <mergeCell ref="A22:G22"/>
    <mergeCell ref="A31:G31"/>
    <mergeCell ref="A32:G32"/>
    <mergeCell ref="A27:G27"/>
    <mergeCell ref="A28:G28"/>
    <mergeCell ref="A29:G29"/>
    <mergeCell ref="A23:G23"/>
    <mergeCell ref="A24:G24"/>
    <mergeCell ref="A26:G26"/>
    <mergeCell ref="A30:G30"/>
    <mergeCell ref="A25:G25"/>
    <mergeCell ref="A39:G39"/>
    <mergeCell ref="A34:G35"/>
    <mergeCell ref="A37:G38"/>
    <mergeCell ref="A36:G36"/>
    <mergeCell ref="A33:G33"/>
  </mergeCells>
  <pageMargins left="0.7" right="0.7" top="0.75" bottom="0.75" header="0.3" footer="0.3"/>
  <pageSetup paperSize="9" scale="96" orientation="landscape" horizontalDpi="300" verticalDpi="300" copies="0" r:id="rId1"/>
  <rowBreaks count="1" manualBreakCount="1">
    <brk id="3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46"/>
  <sheetViews>
    <sheetView topLeftCell="A22" workbookViewId="0">
      <selection activeCell="B44" sqref="B44"/>
    </sheetView>
  </sheetViews>
  <sheetFormatPr defaultColWidth="9.140625" defaultRowHeight="15" customHeight="1" x14ac:dyDescent="0.25"/>
  <cols>
    <col min="1" max="1" width="20.42578125" style="25" customWidth="1"/>
    <col min="2" max="2" width="74.7109375" style="34" customWidth="1"/>
    <col min="3" max="3" width="9.140625" style="25"/>
    <col min="4" max="4" width="12.85546875" style="25" customWidth="1"/>
    <col min="5" max="16384" width="9.140625" style="25"/>
  </cols>
  <sheetData>
    <row r="1" spans="1:2" ht="15" customHeight="1" x14ac:dyDescent="0.25">
      <c r="A1" s="24" t="s">
        <v>160</v>
      </c>
    </row>
    <row r="2" spans="1:2" ht="15" customHeight="1" x14ac:dyDescent="0.25">
      <c r="A2" s="26"/>
      <c r="B2" s="35"/>
    </row>
    <row r="3" spans="1:2" ht="30" customHeight="1" x14ac:dyDescent="0.25">
      <c r="A3" s="538" t="s">
        <v>161</v>
      </c>
      <c r="B3" s="34" t="s">
        <v>194</v>
      </c>
    </row>
    <row r="4" spans="1:2" ht="15" customHeight="1" x14ac:dyDescent="0.25">
      <c r="A4" s="538"/>
      <c r="B4" s="34" t="s">
        <v>195</v>
      </c>
    </row>
    <row r="5" spans="1:2" ht="15" customHeight="1" x14ac:dyDescent="0.25">
      <c r="A5" s="538"/>
      <c r="B5" s="34" t="s">
        <v>196</v>
      </c>
    </row>
    <row r="6" spans="1:2" ht="15" customHeight="1" x14ac:dyDescent="0.25">
      <c r="A6" s="538"/>
      <c r="B6" s="34" t="s">
        <v>197</v>
      </c>
    </row>
    <row r="7" spans="1:2" ht="15" customHeight="1" x14ac:dyDescent="0.25">
      <c r="A7" s="538"/>
      <c r="B7" s="34" t="s">
        <v>168</v>
      </c>
    </row>
    <row r="8" spans="1:2" ht="15" customHeight="1" x14ac:dyDescent="0.25">
      <c r="A8" s="26"/>
      <c r="B8" s="35"/>
    </row>
    <row r="9" spans="1:2" ht="15" customHeight="1" x14ac:dyDescent="0.25">
      <c r="A9" s="27" t="s">
        <v>183</v>
      </c>
      <c r="B9" s="34" t="s">
        <v>198</v>
      </c>
    </row>
    <row r="10" spans="1:2" ht="15" customHeight="1" x14ac:dyDescent="0.25">
      <c r="A10" s="26"/>
      <c r="B10" s="35"/>
    </row>
    <row r="11" spans="1:2" ht="15" customHeight="1" x14ac:dyDescent="0.25">
      <c r="A11" s="539" t="s">
        <v>188</v>
      </c>
      <c r="B11" s="34" t="s">
        <v>192</v>
      </c>
    </row>
    <row r="12" spans="1:2" ht="15" customHeight="1" x14ac:dyDescent="0.25">
      <c r="A12" s="540"/>
      <c r="B12" s="34" t="s">
        <v>193</v>
      </c>
    </row>
    <row r="13" spans="1:2" ht="15" customHeight="1" x14ac:dyDescent="0.25">
      <c r="A13" s="540"/>
      <c r="B13" s="34" t="s">
        <v>201</v>
      </c>
    </row>
    <row r="14" spans="1:2" ht="15" customHeight="1" x14ac:dyDescent="0.25">
      <c r="A14" s="540"/>
      <c r="B14" s="34" t="s">
        <v>212</v>
      </c>
    </row>
    <row r="15" spans="1:2" ht="15" customHeight="1" x14ac:dyDescent="0.25">
      <c r="A15" s="541"/>
      <c r="B15" s="34" t="s">
        <v>208</v>
      </c>
    </row>
    <row r="16" spans="1:2" ht="15" customHeight="1" x14ac:dyDescent="0.25">
      <c r="A16" s="26"/>
      <c r="B16" s="35"/>
    </row>
    <row r="17" spans="1:2" ht="15" customHeight="1" x14ac:dyDescent="0.25">
      <c r="A17" s="539" t="s">
        <v>274</v>
      </c>
      <c r="B17" s="542" t="s">
        <v>216</v>
      </c>
    </row>
    <row r="18" spans="1:2" ht="15" customHeight="1" x14ac:dyDescent="0.25">
      <c r="A18" s="540"/>
      <c r="B18" s="543"/>
    </row>
    <row r="19" spans="1:2" ht="15" customHeight="1" x14ac:dyDescent="0.25">
      <c r="A19" s="540"/>
      <c r="B19" s="34" t="s">
        <v>219</v>
      </c>
    </row>
    <row r="20" spans="1:2" ht="15" customHeight="1" x14ac:dyDescent="0.25">
      <c r="A20" s="540"/>
      <c r="B20" s="34" t="s">
        <v>220</v>
      </c>
    </row>
    <row r="21" spans="1:2" ht="15" customHeight="1" x14ac:dyDescent="0.25">
      <c r="A21" s="540"/>
      <c r="B21" s="34" t="s">
        <v>221</v>
      </c>
    </row>
    <row r="22" spans="1:2" ht="32.25" customHeight="1" x14ac:dyDescent="0.25">
      <c r="A22" s="540"/>
      <c r="B22" s="34" t="s">
        <v>316</v>
      </c>
    </row>
    <row r="23" spans="1:2" ht="15" customHeight="1" x14ac:dyDescent="0.25">
      <c r="A23" s="540"/>
      <c r="B23" s="542" t="s">
        <v>313</v>
      </c>
    </row>
    <row r="24" spans="1:2" ht="15" customHeight="1" x14ac:dyDescent="0.25">
      <c r="A24" s="540"/>
      <c r="B24" s="544"/>
    </row>
    <row r="25" spans="1:2" ht="15" customHeight="1" x14ac:dyDescent="0.25">
      <c r="A25" s="540"/>
      <c r="B25" s="543"/>
    </row>
    <row r="26" spans="1:2" ht="15" customHeight="1" x14ac:dyDescent="0.25">
      <c r="A26" s="26"/>
      <c r="B26" s="35"/>
    </row>
    <row r="27" spans="1:2" ht="15" customHeight="1" x14ac:dyDescent="0.25">
      <c r="A27" s="539" t="s">
        <v>314</v>
      </c>
      <c r="B27" s="34" t="s">
        <v>315</v>
      </c>
    </row>
    <row r="28" spans="1:2" ht="15" customHeight="1" x14ac:dyDescent="0.25">
      <c r="A28" s="540"/>
      <c r="B28" s="34" t="s">
        <v>317</v>
      </c>
    </row>
    <row r="29" spans="1:2" ht="15" customHeight="1" x14ac:dyDescent="0.25">
      <c r="A29" s="541"/>
      <c r="B29" s="34" t="s">
        <v>318</v>
      </c>
    </row>
    <row r="30" spans="1:2" ht="15" customHeight="1" x14ac:dyDescent="0.25">
      <c r="A30" s="26"/>
      <c r="B30" s="35"/>
    </row>
    <row r="31" spans="1:2" ht="15" customHeight="1" x14ac:dyDescent="0.25">
      <c r="A31" s="302" t="s">
        <v>319</v>
      </c>
      <c r="B31" s="34" t="s">
        <v>320</v>
      </c>
    </row>
    <row r="32" spans="1:2" ht="15" customHeight="1" x14ac:dyDescent="0.25">
      <c r="A32" s="26"/>
      <c r="B32" s="35"/>
    </row>
    <row r="33" spans="1:2" ht="15" customHeight="1" x14ac:dyDescent="0.25">
      <c r="A33" s="304" t="s">
        <v>325</v>
      </c>
      <c r="B33" s="34" t="s">
        <v>326</v>
      </c>
    </row>
    <row r="34" spans="1:2" ht="15" customHeight="1" x14ac:dyDescent="0.25">
      <c r="A34" s="26"/>
      <c r="B34" s="35"/>
    </row>
    <row r="35" spans="1:2" ht="15" customHeight="1" x14ac:dyDescent="0.25">
      <c r="A35" s="539" t="s">
        <v>327</v>
      </c>
      <c r="B35" s="34" t="s">
        <v>328</v>
      </c>
    </row>
    <row r="36" spans="1:2" ht="15" customHeight="1" x14ac:dyDescent="0.25">
      <c r="A36" s="540"/>
      <c r="B36" s="34" t="s">
        <v>335</v>
      </c>
    </row>
    <row r="37" spans="1:2" ht="15" customHeight="1" x14ac:dyDescent="0.25">
      <c r="A37" s="541"/>
      <c r="B37" s="34" t="s">
        <v>341</v>
      </c>
    </row>
    <row r="38" spans="1:2" ht="15" customHeight="1" x14ac:dyDescent="0.25">
      <c r="A38" s="26"/>
      <c r="B38" s="35"/>
    </row>
    <row r="39" spans="1:2" ht="15" customHeight="1" x14ac:dyDescent="0.25">
      <c r="A39" s="309" t="s">
        <v>343</v>
      </c>
      <c r="B39" s="34" t="s">
        <v>344</v>
      </c>
    </row>
    <row r="40" spans="1:2" ht="15" customHeight="1" x14ac:dyDescent="0.25">
      <c r="A40" s="26"/>
      <c r="B40" s="35"/>
    </row>
    <row r="41" spans="1:2" ht="15" customHeight="1" x14ac:dyDescent="0.25">
      <c r="A41" s="311" t="s">
        <v>346</v>
      </c>
      <c r="B41" s="34" t="s">
        <v>345</v>
      </c>
    </row>
    <row r="42" spans="1:2" ht="15" customHeight="1" x14ac:dyDescent="0.25">
      <c r="A42" s="26"/>
      <c r="B42" s="35"/>
    </row>
    <row r="43" spans="1:2" ht="15" customHeight="1" x14ac:dyDescent="0.25">
      <c r="A43" s="539" t="s">
        <v>371</v>
      </c>
      <c r="B43" s="34" t="s">
        <v>348</v>
      </c>
    </row>
    <row r="44" spans="1:2" ht="30" customHeight="1" x14ac:dyDescent="0.25">
      <c r="A44" s="540"/>
      <c r="B44" s="34" t="s">
        <v>368</v>
      </c>
    </row>
    <row r="45" spans="1:2" ht="15" customHeight="1" x14ac:dyDescent="0.25">
      <c r="A45" s="541"/>
      <c r="B45" s="34" t="s">
        <v>367</v>
      </c>
    </row>
    <row r="46" spans="1:2" ht="15" customHeight="1" x14ac:dyDescent="0.25">
      <c r="A46" s="26"/>
      <c r="B46" s="35"/>
    </row>
  </sheetData>
  <sheetProtection password="9D4F" sheet="1" objects="1" scenarios="1"/>
  <mergeCells count="8">
    <mergeCell ref="A43:A45"/>
    <mergeCell ref="A35:A37"/>
    <mergeCell ref="A27:A29"/>
    <mergeCell ref="A3:A7"/>
    <mergeCell ref="A11:A15"/>
    <mergeCell ref="B17:B18"/>
    <mergeCell ref="B23:B25"/>
    <mergeCell ref="A17:A25"/>
  </mergeCells>
  <pageMargins left="0.7" right="0.7" top="0.75" bottom="0.75" header="0.3" footer="0.3"/>
  <pageSetup paperSize="9" orientation="portrait" horizontalDpi="300" verticalDpi="30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1"/>
  <sheetViews>
    <sheetView workbookViewId="0">
      <selection activeCell="C3" sqref="C3"/>
    </sheetView>
  </sheetViews>
  <sheetFormatPr defaultColWidth="9.140625" defaultRowHeight="44.25" customHeight="1" x14ac:dyDescent="0.25"/>
  <cols>
    <col min="1" max="1" width="6.5703125" style="12" customWidth="1"/>
    <col min="2" max="2" width="30.140625" style="13" customWidth="1"/>
    <col min="3" max="3" width="102" style="13" customWidth="1"/>
    <col min="4" max="16384" width="9.140625" style="13"/>
  </cols>
  <sheetData>
    <row r="1" spans="1:4" s="11" customFormat="1" ht="44.25" customHeight="1" thickBot="1" x14ac:dyDescent="0.3">
      <c r="A1" s="21" t="s">
        <v>60</v>
      </c>
      <c r="B1" s="22" t="s">
        <v>61</v>
      </c>
      <c r="C1" s="23" t="s">
        <v>62</v>
      </c>
      <c r="D1" s="14"/>
    </row>
    <row r="2" spans="1:4" ht="44.25" customHeight="1" x14ac:dyDescent="0.25">
      <c r="A2" s="19">
        <v>1</v>
      </c>
      <c r="B2" s="20" t="s">
        <v>66</v>
      </c>
      <c r="C2" s="210" t="s">
        <v>63</v>
      </c>
      <c r="D2" s="15"/>
    </row>
    <row r="3" spans="1:4" ht="30.75" customHeight="1" x14ac:dyDescent="0.25">
      <c r="A3" s="16">
        <v>2</v>
      </c>
      <c r="B3" s="17" t="s">
        <v>64</v>
      </c>
      <c r="C3" s="136" t="s">
        <v>65</v>
      </c>
      <c r="D3" s="15"/>
    </row>
    <row r="4" spans="1:4" ht="15.75" customHeight="1" x14ac:dyDescent="0.25">
      <c r="A4" s="16">
        <v>3</v>
      </c>
      <c r="B4" s="17" t="s">
        <v>70</v>
      </c>
      <c r="C4" s="136" t="s">
        <v>71</v>
      </c>
      <c r="D4" s="15"/>
    </row>
    <row r="5" spans="1:4" ht="15.75" customHeight="1" x14ac:dyDescent="0.25">
      <c r="A5" s="16">
        <v>4</v>
      </c>
      <c r="B5" s="17" t="s">
        <v>72</v>
      </c>
      <c r="C5" s="136" t="s">
        <v>73</v>
      </c>
      <c r="D5" s="15"/>
    </row>
    <row r="6" spans="1:4" ht="15.75" customHeight="1" x14ac:dyDescent="0.25">
      <c r="A6" s="16">
        <v>5</v>
      </c>
      <c r="B6" s="17" t="s">
        <v>75</v>
      </c>
      <c r="C6" s="136" t="s">
        <v>74</v>
      </c>
      <c r="D6" s="15"/>
    </row>
    <row r="7" spans="1:4" ht="15.75" customHeight="1" x14ac:dyDescent="0.25">
      <c r="A7" s="16">
        <v>6</v>
      </c>
      <c r="B7" s="18" t="s">
        <v>76</v>
      </c>
      <c r="C7" s="136" t="s">
        <v>77</v>
      </c>
      <c r="D7" s="15"/>
    </row>
    <row r="8" spans="1:4" ht="15.75" customHeight="1" x14ac:dyDescent="0.25">
      <c r="A8" s="16">
        <v>7</v>
      </c>
      <c r="B8" s="18" t="s">
        <v>78</v>
      </c>
      <c r="C8" s="136" t="s">
        <v>79</v>
      </c>
      <c r="D8" s="15"/>
    </row>
    <row r="9" spans="1:4" ht="15.75" customHeight="1" x14ac:dyDescent="0.25">
      <c r="A9" s="16">
        <v>8</v>
      </c>
      <c r="B9" s="17" t="s">
        <v>81</v>
      </c>
      <c r="C9" s="136" t="s">
        <v>80</v>
      </c>
      <c r="D9" s="15"/>
    </row>
    <row r="10" spans="1:4" ht="15.75" customHeight="1" x14ac:dyDescent="0.25">
      <c r="A10" s="16">
        <v>9</v>
      </c>
      <c r="B10" s="18" t="s">
        <v>82</v>
      </c>
      <c r="C10" s="136" t="s">
        <v>83</v>
      </c>
      <c r="D10" s="15"/>
    </row>
    <row r="11" spans="1:4" ht="15.75" customHeight="1" x14ac:dyDescent="0.25">
      <c r="A11" s="16">
        <v>10</v>
      </c>
      <c r="B11" s="18" t="s">
        <v>85</v>
      </c>
      <c r="C11" s="136" t="s">
        <v>84</v>
      </c>
      <c r="D11" s="15"/>
    </row>
    <row r="12" spans="1:4" ht="15.75" customHeight="1" x14ac:dyDescent="0.25">
      <c r="A12" s="16">
        <v>11</v>
      </c>
      <c r="B12" s="18" t="s">
        <v>87</v>
      </c>
      <c r="C12" s="136" t="s">
        <v>86</v>
      </c>
      <c r="D12" s="15"/>
    </row>
    <row r="13" spans="1:4" ht="15" customHeight="1" x14ac:dyDescent="0.25">
      <c r="A13" s="16">
        <v>12</v>
      </c>
      <c r="B13" s="18" t="s">
        <v>91</v>
      </c>
      <c r="C13" s="136" t="s">
        <v>88</v>
      </c>
      <c r="D13" s="15"/>
    </row>
    <row r="14" spans="1:4" ht="15" customHeight="1" x14ac:dyDescent="0.25">
      <c r="A14" s="16">
        <v>13</v>
      </c>
      <c r="B14" s="18" t="s">
        <v>89</v>
      </c>
      <c r="C14" s="136" t="s">
        <v>90</v>
      </c>
      <c r="D14" s="15"/>
    </row>
    <row r="15" spans="1:4" ht="15" customHeight="1" x14ac:dyDescent="0.25">
      <c r="A15" s="16">
        <v>14</v>
      </c>
      <c r="B15" s="18" t="s">
        <v>102</v>
      </c>
      <c r="C15" s="136" t="s">
        <v>103</v>
      </c>
      <c r="D15" s="15"/>
    </row>
    <row r="16" spans="1:4" ht="30.75" customHeight="1" x14ac:dyDescent="0.25">
      <c r="A16" s="16">
        <v>15</v>
      </c>
      <c r="B16" s="18" t="s">
        <v>166</v>
      </c>
      <c r="C16" s="136" t="s">
        <v>165</v>
      </c>
      <c r="D16" s="15"/>
    </row>
    <row r="17" spans="1:4" ht="15" customHeight="1" x14ac:dyDescent="0.25">
      <c r="A17" s="132">
        <v>16</v>
      </c>
      <c r="B17" s="133" t="s">
        <v>184</v>
      </c>
      <c r="C17" s="180" t="s">
        <v>182</v>
      </c>
      <c r="D17" s="15"/>
    </row>
    <row r="18" spans="1:4" ht="20.25" customHeight="1" x14ac:dyDescent="0.25">
      <c r="A18" s="134">
        <v>17</v>
      </c>
      <c r="B18" s="137" t="s">
        <v>227</v>
      </c>
      <c r="C18" s="178" t="s">
        <v>226</v>
      </c>
      <c r="D18" s="15"/>
    </row>
    <row r="19" spans="1:4" ht="15" customHeight="1" x14ac:dyDescent="0.25">
      <c r="A19" s="134">
        <v>18</v>
      </c>
      <c r="B19" s="137" t="s">
        <v>243</v>
      </c>
      <c r="C19" s="178" t="s">
        <v>244</v>
      </c>
      <c r="D19" s="15"/>
    </row>
    <row r="20" spans="1:4" ht="15" customHeight="1" x14ac:dyDescent="0.25">
      <c r="A20" s="134">
        <v>19</v>
      </c>
      <c r="B20" s="135" t="s">
        <v>246</v>
      </c>
      <c r="C20" s="178" t="s">
        <v>245</v>
      </c>
      <c r="D20" s="15"/>
    </row>
    <row r="21" spans="1:4" ht="28.5" customHeight="1" x14ac:dyDescent="0.25">
      <c r="A21" s="134">
        <v>20</v>
      </c>
      <c r="B21" s="135" t="s">
        <v>247</v>
      </c>
      <c r="C21" s="178" t="s">
        <v>248</v>
      </c>
      <c r="D21" s="15"/>
    </row>
    <row r="22" spans="1:4" ht="28.5" customHeight="1" x14ac:dyDescent="0.25">
      <c r="A22" s="134">
        <v>21</v>
      </c>
      <c r="B22" s="135" t="s">
        <v>250</v>
      </c>
      <c r="C22" s="178" t="s">
        <v>249</v>
      </c>
      <c r="D22" s="15"/>
    </row>
    <row r="23" spans="1:4" ht="28.5" customHeight="1" x14ac:dyDescent="0.25">
      <c r="A23" s="134">
        <v>22</v>
      </c>
      <c r="B23" s="179" t="s">
        <v>252</v>
      </c>
      <c r="C23" s="178" t="s">
        <v>251</v>
      </c>
      <c r="D23" s="15"/>
    </row>
    <row r="24" spans="1:4" ht="28.5" customHeight="1" x14ac:dyDescent="0.25">
      <c r="A24" s="134">
        <v>23</v>
      </c>
      <c r="B24" s="135" t="s">
        <v>254</v>
      </c>
      <c r="C24" s="178" t="s">
        <v>253</v>
      </c>
      <c r="D24" s="15"/>
    </row>
    <row r="25" spans="1:4" ht="28.5" customHeight="1" x14ac:dyDescent="0.25">
      <c r="A25" s="134">
        <v>24</v>
      </c>
      <c r="B25" s="135" t="s">
        <v>259</v>
      </c>
      <c r="C25" s="178" t="s">
        <v>261</v>
      </c>
      <c r="D25" s="15"/>
    </row>
    <row r="26" spans="1:4" ht="28.5" customHeight="1" x14ac:dyDescent="0.25">
      <c r="A26" s="134">
        <v>25</v>
      </c>
      <c r="B26" s="135" t="s">
        <v>259</v>
      </c>
      <c r="C26" s="178" t="s">
        <v>260</v>
      </c>
      <c r="D26" s="15"/>
    </row>
    <row r="27" spans="1:4" ht="28.5" customHeight="1" x14ac:dyDescent="0.25">
      <c r="A27" s="134">
        <v>26</v>
      </c>
      <c r="B27" s="137" t="s">
        <v>279</v>
      </c>
      <c r="C27" s="178" t="s">
        <v>280</v>
      </c>
      <c r="D27" s="15"/>
    </row>
    <row r="28" spans="1:4" ht="22.5" customHeight="1" x14ac:dyDescent="0.25">
      <c r="A28" s="134">
        <v>27</v>
      </c>
      <c r="B28" s="135" t="s">
        <v>293</v>
      </c>
      <c r="C28" s="178" t="s">
        <v>292</v>
      </c>
    </row>
    <row r="29" spans="1:4" ht="33.75" customHeight="1" x14ac:dyDescent="0.25">
      <c r="A29" s="134">
        <v>28</v>
      </c>
      <c r="B29" s="135" t="s">
        <v>295</v>
      </c>
      <c r="C29" s="178" t="s">
        <v>294</v>
      </c>
    </row>
    <row r="30" spans="1:4" ht="31.5" customHeight="1" x14ac:dyDescent="0.25">
      <c r="A30" s="134">
        <v>29</v>
      </c>
      <c r="B30" s="135" t="s">
        <v>340</v>
      </c>
      <c r="C30" s="178" t="s">
        <v>339</v>
      </c>
    </row>
    <row r="31" spans="1:4" ht="22.5" customHeight="1" x14ac:dyDescent="0.25">
      <c r="A31" s="134">
        <v>30</v>
      </c>
      <c r="B31" s="137"/>
      <c r="C31" s="178"/>
    </row>
  </sheetData>
  <sheetProtection password="9D4F" sheet="1" objects="1" scenarios="1"/>
  <hyperlinks>
    <hyperlink ref="C4" r:id="rId1"/>
    <hyperlink ref="C9" r:id="rId2"/>
    <hyperlink ref="C23" r:id="rId3" location="post57040"/>
    <hyperlink ref="C21" r:id="rId4"/>
    <hyperlink ref="C22" r:id="rId5" location="post156649"/>
    <hyperlink ref="C16" r:id="rId6"/>
    <hyperlink ref="C17" r:id="rId7"/>
    <hyperlink ref="C18" r:id="rId8"/>
    <hyperlink ref="C19" r:id="rId9"/>
    <hyperlink ref="C20" r:id="rId10"/>
    <hyperlink ref="C24" r:id="rId11"/>
    <hyperlink ref="C27" r:id="rId12"/>
    <hyperlink ref="C6" r:id="rId13"/>
    <hyperlink ref="C5" r:id="rId14"/>
    <hyperlink ref="C28" r:id="rId15"/>
    <hyperlink ref="C29" r:id="rId16"/>
    <hyperlink ref="C3" r:id="rId17"/>
    <hyperlink ref="C2" r:id="rId18"/>
    <hyperlink ref="C7" r:id="rId19"/>
    <hyperlink ref="C8" r:id="rId20"/>
    <hyperlink ref="C10" r:id="rId21"/>
    <hyperlink ref="C11" r:id="rId22"/>
    <hyperlink ref="C12" r:id="rId23"/>
    <hyperlink ref="C13" r:id="rId24"/>
    <hyperlink ref="C14" r:id="rId25"/>
    <hyperlink ref="C15" r:id="rId26"/>
    <hyperlink ref="C25" r:id="rId27"/>
    <hyperlink ref="C26" r:id="rId28"/>
    <hyperlink ref="C30" r:id="rId29"/>
  </hyperlinks>
  <pageMargins left="0.7" right="0.7" top="0.75" bottom="0.75" header="0.3" footer="0.3"/>
  <pageSetup paperSize="9" orientation="portrait" horizontalDpi="300" verticalDpi="300" copies="0" r:id="rId3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51"/>
  <sheetViews>
    <sheetView tabSelected="1" topLeftCell="A3" workbookViewId="0">
      <selection activeCell="D10" sqref="D10"/>
    </sheetView>
  </sheetViews>
  <sheetFormatPr defaultColWidth="9.140625" defaultRowHeight="15" x14ac:dyDescent="0.25"/>
  <cols>
    <col min="1" max="1" width="11.7109375" style="46" customWidth="1"/>
    <col min="2" max="8" width="8" style="46" customWidth="1"/>
    <col min="9" max="9" width="2.42578125" style="46" customWidth="1"/>
    <col min="10" max="10" width="20" style="46" customWidth="1"/>
    <col min="11" max="11" width="12" style="46" customWidth="1"/>
    <col min="12" max="12" width="20.85546875" style="46" customWidth="1"/>
    <col min="13" max="13" width="12" style="46" customWidth="1"/>
    <col min="14" max="14" width="20.85546875" style="46" customWidth="1"/>
    <col min="15" max="15" width="12" style="46" customWidth="1"/>
    <col min="16" max="16" width="20.85546875" style="46" customWidth="1"/>
    <col min="17" max="17" width="12.42578125" style="46" bestFit="1" customWidth="1"/>
    <col min="18" max="18" width="9.42578125" style="46" bestFit="1" customWidth="1"/>
    <col min="19" max="16384" width="9.140625" style="46"/>
  </cols>
  <sheetData>
    <row r="1" spans="1:17" ht="15" customHeight="1" x14ac:dyDescent="0.25">
      <c r="H1" s="44"/>
      <c r="I1" s="44"/>
      <c r="J1" s="418" t="s">
        <v>10</v>
      </c>
      <c r="K1" s="407" t="s">
        <v>149</v>
      </c>
      <c r="L1" s="408"/>
      <c r="M1" s="407" t="s">
        <v>150</v>
      </c>
      <c r="N1" s="408"/>
      <c r="O1" s="407" t="s">
        <v>151</v>
      </c>
      <c r="P1" s="429"/>
      <c r="Q1" s="45"/>
    </row>
    <row r="2" spans="1:17" ht="15" customHeight="1" x14ac:dyDescent="0.25">
      <c r="B2" s="409" t="s">
        <v>144</v>
      </c>
      <c r="C2" s="410"/>
      <c r="D2" s="411"/>
      <c r="E2" s="89">
        <v>63</v>
      </c>
      <c r="H2" s="44"/>
      <c r="I2" s="44"/>
      <c r="J2" s="419"/>
      <c r="K2" s="430" t="s">
        <v>134</v>
      </c>
      <c r="L2" s="430" t="s">
        <v>133</v>
      </c>
      <c r="M2" s="430" t="s">
        <v>134</v>
      </c>
      <c r="N2" s="430" t="s">
        <v>133</v>
      </c>
      <c r="O2" s="430" t="s">
        <v>134</v>
      </c>
      <c r="P2" s="432" t="s">
        <v>133</v>
      </c>
      <c r="Q2" s="45"/>
    </row>
    <row r="3" spans="1:17" ht="15" customHeight="1" thickBot="1" x14ac:dyDescent="0.3">
      <c r="B3" s="412" t="s">
        <v>145</v>
      </c>
      <c r="C3" s="413"/>
      <c r="D3" s="414"/>
      <c r="E3" s="89"/>
      <c r="H3" s="44"/>
      <c r="I3" s="44"/>
      <c r="J3" s="419"/>
      <c r="K3" s="431"/>
      <c r="L3" s="431"/>
      <c r="M3" s="431"/>
      <c r="N3" s="431"/>
      <c r="O3" s="431"/>
      <c r="P3" s="433"/>
      <c r="Q3" s="45"/>
    </row>
    <row r="4" spans="1:17" ht="15" customHeight="1" x14ac:dyDescent="0.25">
      <c r="B4" s="415" t="s">
        <v>146</v>
      </c>
      <c r="C4" s="416"/>
      <c r="D4" s="417"/>
      <c r="E4" s="89"/>
      <c r="H4" s="44"/>
      <c r="I4" s="44"/>
      <c r="J4" s="317" t="str">
        <f>'pomocne tabulky'!K3</f>
        <v>Mg</v>
      </c>
      <c r="K4" s="318">
        <f>IF(ISNUMBER('KNO3'!AV3), 'KNO3'!AV3, 0)+IF(ISNUMBER(KH2PO4!AV3), KH2PO4!AV3, 0)+IF(ISNUMBER(K2SO4!AV3), K2SO4!AV3, 0)+IF(ISNUMBER(MgSO4!AV3), MgSO4!AV3, 0)+IF(ISNUMBER(Tenso!AV3), Tenso!AV3, 0)+IF(ISNUMBER(MAKRO!AV3), MAKRO!AV3, 0)+IF(ISNUMBER('#7'!AV3), '#7'!AV3, 0)</f>
        <v>2.3786727925012694</v>
      </c>
      <c r="L4" s="319">
        <f>IF($E$2, IF(SUM($B$10:$B$17)=0,0,('KNO3'!AU3*SUM($B$10:$B$17))/($E$2*1000))+IF(SUM($C$10:$C$17)=0,0,(KH2PO4!AU3*SUM($C$10:$C$17))/($E$2*1000))+IF(SUM($D$10:$D$17)=0,0,(K2SO4!AU3*SUM($D$10:$D$17))/($E$2*1000))+IF(SUM($E$10:$E$17)=0,0,(MgSO4!AU3*SUM($E$10:$E$17))/($E$2*1000))+IF(SUM($F$10:$F$17)=0,0,(Tenso!AU3*SUM($F$10:$F$17))/($E$2*1000))+IF(SUM($G$10:$G$17)=0,0,(MAKRO!AU3*SUM($G$10:$G$17))/($E$2*1000))+IF(SUM($H$10:$H$17)=0,0,('#7'!AU3*SUM($H$10:$H$17))/($E$2*1000)), "-")</f>
        <v>4.3078719358560438</v>
      </c>
      <c r="M4" s="318">
        <f>IF(ISNUMBER('KNO3'!AW3), 'KNO3'!AW3, 0)+IF(ISNUMBER(KH2PO4!AW3), KH2PO4!AW3, 0)+IF(ISNUMBER(K2SO4!AW3), K2SO4!AW3, 0)+IF(ISNUMBER(MgSO4!AW3), MgSO4!AW3, 0)+IF(ISNUMBER(Tenso!AW3), Tenso!AW3, 0)+IF(ISNUMBER(MAKRO!AW3), MAKRO!AW3, 0)+IF(ISNUMBER('#7'!AW3), '#7'!AW3, 0)</f>
        <v>0</v>
      </c>
      <c r="N4" s="319" t="str">
        <f>IF($E$3, IF(SUM($B$24:$B$31)=0,0,('KNO3'!AU3*SUM($B$24:$B$31))/($E$3*1000))+IF(SUM($C$24:$C$31)=0,0,(KH2PO4!AU3*SUM($C$24:$C$31))/($E$3*1000))+IF(SUM($D$24:$D$31)=0,0,(K2SO4!AU3*SUM($D$24:$D$31))/($E$3*1000))+IF(SUM($E$24:$E$31)=0,0,(MgSO4!AU3*SUM($E$24:$E$31))/($E$3*1000))+IF(SUM($F$24:$F$31)=0,0,(Tenso!AU3*SUM($F$24:$F$31))/($E$3*1000))+IF(SUM($G$24:$G$31)=0,0,(MAKRO!AU3*SUM($G$24:$G$31))/($E$3*1000))+IF(SUM($H$24:$H$31)=0,0,('#7'!AU3*SUM($H$24:$H$31))/($E$3*1000)), "-")</f>
        <v>-</v>
      </c>
      <c r="O4" s="318">
        <f>IF(ISNUMBER('KNO3'!AX3), 'KNO3'!AX3, 0)+IF(ISNUMBER(KH2PO4!AX3), KH2PO4!AX3, 0)+IF(ISNUMBER(K2SO4!AX3), K2SO4!AX3, 0)+IF(ISNUMBER(MgSO4!AX3), MgSO4!AX3, 0)+IF(ISNUMBER(Tenso!AX3), Tenso!AX3, 0)+IF(ISNUMBER(MAKRO!AX3), MAKRO!AX3, 0)+IF(ISNUMBER('#7'!AX3), '#7'!AX3, 0)</f>
        <v>0</v>
      </c>
      <c r="P4" s="320" t="str">
        <f>IF($E$4, IF(SUM($B$38:$B$45)=0,0,('KNO3'!AU3*SUM($B$38:$B$45))/($E$4*1000))+IF(SUM($C$38:$C$45)=0,0,(KH2PO4!AU3*SUM($C$38:$C$45))/($E$4*1000))+IF(SUM($D$38:$D$45)=0,0,(K2SO4!AU3*SUM($D$38:$D$45))/($E$4*1000))+IF(SUM($E$38:$E$45)=0,0,(MgSO4!AU3*SUM($E$38:$E$45))/($E$4*1000))+IF(SUM($F$38:$F$45)=0,0,(Tenso!AU3*SUM($F$38:$F$45))/($E$4*1000))+IF(SUM($G$38:$G$45)=0,0,(MAKRO!AU3*SUM($G$38:$G$45))/($E$4*1000))+IF(SUM($H$38:$H$45)=0,0,('#7'!AU3*SUM($H$38:$H$45))/($E$4*1000)), "-")</f>
        <v>-</v>
      </c>
      <c r="Q4" s="45"/>
    </row>
    <row r="5" spans="1:17" ht="15" customHeight="1" x14ac:dyDescent="0.25">
      <c r="E5" s="86"/>
      <c r="H5" s="44"/>
      <c r="I5" s="44"/>
      <c r="J5" s="321" t="str">
        <f>'pomocne tabulky'!K4</f>
        <v>S</v>
      </c>
      <c r="K5" s="287">
        <f>IF(ISNUMBER('KNO3'!AV4), 'KNO3'!AV4, 0)+IF(ISNUMBER(KH2PO4!AV4), KH2PO4!AV4, 0)+IF(ISNUMBER(K2SO4!AV4), K2SO4!AV4, 0)+IF(ISNUMBER(MgSO4!AV4), MgSO4!AV4, 0)+IF(ISNUMBER(Tenso!AV4), Tenso!AV4, 0)+IF(ISNUMBER(MAKRO!AV4), MAKRO!AV4, 0)+IF(ISNUMBER('#7'!AV4), '#7'!AV4, 0)</f>
        <v>4.1643624576897871</v>
      </c>
      <c r="L5" s="314">
        <f>IF($E$2, IF(SUM($B$10:$B$17)=0,0,('KNO3'!AU4*SUM($B$10:$B$17))/($E$2*1000))+IF(SUM($C$10:$C$17)=0,0,(KH2PO4!AU4*SUM($C$10:$C$17))/($E$2*1000))+IF(SUM($D$10:$D$17)=0,0,(K2SO4!AU4*SUM($D$10:$D$17))/($E$2*1000))+IF(SUM($E$10:$E$17)=0,0,(MgSO4!AU4*SUM($E$10:$E$17))/($E$2*1000))+IF(SUM($F$10:$F$17)=0,0,(Tenso!AU4*SUM($F$10:$F$17))/($E$2*1000))+IF(SUM($G$10:$G$17)=0,0,(MAKRO!AU4*SUM($G$10:$G$17))/($E$2*1000))+IF(SUM($H$10:$H$17)=0,0,('#7'!AU4*SUM($H$10:$H$17))/($E$2*1000)), "-")</f>
        <v>10.597972841249074</v>
      </c>
      <c r="M5" s="287">
        <f>IF(ISNUMBER('KNO3'!AW4), 'KNO3'!AW4, 0)+IF(ISNUMBER(KH2PO4!AW4), KH2PO4!AW4, 0)+IF(ISNUMBER(K2SO4!AW4), K2SO4!AW4, 0)+IF(ISNUMBER(MgSO4!AW4), MgSO4!AW4, 0)+IF(ISNUMBER(Tenso!AW4), Tenso!AW4, 0)+IF(ISNUMBER(MAKRO!AW4), MAKRO!AW4, 0)+IF(ISNUMBER('#7'!AW4), '#7'!AW4, 0)</f>
        <v>0</v>
      </c>
      <c r="N5" s="314" t="str">
        <f>IF($E$3, IF(SUM($B$24:$B$31)=0,0,('KNO3'!AU4*SUM($B$24:$B$31))/($E$3*1000))+IF(SUM($C$24:$C$31)=0,0,(KH2PO4!AU4*SUM($C$24:$C$31))/($E$3*1000))+IF(SUM($D$24:$D$31)=0,0,(K2SO4!AU4*SUM($D$24:$D$31))/($E$3*1000))+IF(SUM($E$24:$E$31)=0,0,(MgSO4!AU4*SUM($E$24:$E$31))/($E$3*1000))+IF(SUM($F$24:$F$31)=0,0,(Tenso!AU4*SUM($F$24:$F$31))/($E$3*1000))+IF(SUM($G$24:$G$31)=0,0,(MAKRO!AU4*SUM($G$24:$G$31))/($E$3*1000))+IF(SUM($H$24:$H$31)=0,0,('#7'!AU4*SUM($H$24:$H$31))/($E$3*1000)), "-")</f>
        <v>-</v>
      </c>
      <c r="O5" s="287">
        <f>IF(ISNUMBER('KNO3'!AX4), 'KNO3'!AX4, 0)+IF(ISNUMBER(KH2PO4!AX4), KH2PO4!AX4, 0)+IF(ISNUMBER(K2SO4!AX4), K2SO4!AX4, 0)+IF(ISNUMBER(MgSO4!AX4), MgSO4!AX4, 0)+IF(ISNUMBER(Tenso!AX4), Tenso!AX4, 0)+IF(ISNUMBER(MAKRO!AX4), MAKRO!AX4, 0)+IF(ISNUMBER('#7'!AX4), '#7'!AX4, 0)</f>
        <v>0</v>
      </c>
      <c r="P5" s="322" t="str">
        <f>IF($E$4, IF(SUM($B$38:$B$45)=0,0,('KNO3'!AU4*SUM($B$38:$B$45))/($E$4*1000))+IF(SUM($C$38:$C$45)=0,0,(KH2PO4!AU4*SUM($C$38:$C$45))/($E$4*1000))+IF(SUM($D$38:$D$45)=0,0,(K2SO4!AU4*SUM($D$38:$D$45))/($E$4*1000))+IF(SUM($E$38:$E$45)=0,0,(MgSO4!AU4*SUM($E$38:$E$45))/($E$4*1000))+IF(SUM($F$38:$F$45)=0,0,(Tenso!AU4*SUM($F$38:$F$45))/($E$4*1000))+IF(SUM($G$38:$G$45)=0,0,(MAKRO!AU4*SUM($G$38:$G$45))/($E$4*1000))+IF(SUM($H$38:$H$45)=0,0,('#7'!AU4*SUM($H$38:$H$45))/($E$4*1000)), "-")</f>
        <v>-</v>
      </c>
      <c r="Q5" s="45"/>
    </row>
    <row r="6" spans="1:17" ht="15" customHeight="1" thickBot="1" x14ac:dyDescent="0.3">
      <c r="A6" s="426" t="s">
        <v>148</v>
      </c>
      <c r="B6" s="427"/>
      <c r="C6" s="427"/>
      <c r="D6" s="427"/>
      <c r="E6" s="427"/>
      <c r="F6" s="427"/>
      <c r="G6" s="427"/>
      <c r="H6" s="428"/>
      <c r="I6" s="44"/>
      <c r="J6" s="321" t="str">
        <f>'pomocne tabulky'!K5</f>
        <v>O</v>
      </c>
      <c r="K6" s="287">
        <f>IF(ISNUMBER('KNO3'!AV5), 'KNO3'!AV5, 0)+IF(ISNUMBER(KH2PO4!AV5), KH2PO4!AV5, 0)+IF(ISNUMBER(K2SO4!AV5), K2SO4!AV5, 0)+IF(ISNUMBER(MgSO4!AV5), MgSO4!AV5, 0)+IF(ISNUMBER(Tenso!AV5), Tenso!AV5, 0)+IF(ISNUMBER(MAKRO!AV5), MAKRO!AV5, 0)+IF(ISNUMBER('#7'!AV5), '#7'!AV5, 0)</f>
        <v>24.00251810458014</v>
      </c>
      <c r="L6" s="314">
        <f>IF($E$2, IF(SUM($B$10:$B$17)=0,0,('KNO3'!AU5*SUM($B$10:$B$17))/($E$2*1000))+IF(SUM($C$10:$C$17)=0,0,(KH2PO4!AU5*SUM($C$10:$C$17))/($E$2*1000))+IF(SUM($D$10:$D$17)=0,0,(K2SO4!AU5*SUM($D$10:$D$17))/($E$2*1000))+IF(SUM($E$10:$E$17)=0,0,(MgSO4!AU5*SUM($E$10:$E$17))/($E$2*1000))+IF(SUM($F$10:$F$17)=0,0,(Tenso!AU5*SUM($F$10:$F$17))/($E$2*1000))+IF(SUM($G$10:$G$17)=0,0,(MAKRO!AU5*SUM($G$10:$G$17))/($E$2*1000))+IF(SUM($H$10:$H$17)=0,0,('#7'!AU5*SUM($H$10:$H$17))/($E$2*1000)), "-")</f>
        <v>26.294813140170028</v>
      </c>
      <c r="M6" s="287">
        <f>IF(ISNUMBER('KNO3'!AW5), 'KNO3'!AW5, 0)+IF(ISNUMBER(KH2PO4!AW5), KH2PO4!AW5, 0)+IF(ISNUMBER(K2SO4!AW5), K2SO4!AW5, 0)+IF(ISNUMBER(MgSO4!AW5), MgSO4!AW5, 0)+IF(ISNUMBER(Tenso!AW5), Tenso!AW5, 0)+IF(ISNUMBER(MAKRO!AW5), MAKRO!AW5, 0)+IF(ISNUMBER('#7'!AW5), '#7'!AW5, 0)</f>
        <v>0</v>
      </c>
      <c r="N6" s="314" t="str">
        <f>IF($E$3, IF(SUM($B$24:$B$31)=0,0,('KNO3'!AU5*SUM($B$24:$B$31))/($E$3*1000))+IF(SUM($C$24:$C$31)=0,0,(KH2PO4!AU5*SUM($C$24:$C$31))/($E$3*1000))+IF(SUM($D$24:$D$31)=0,0,(K2SO4!AU5*SUM($D$24:$D$31))/($E$3*1000))+IF(SUM($E$24:$E$31)=0,0,(MgSO4!AU5*SUM($E$24:$E$31))/($E$3*1000))+IF(SUM($F$24:$F$31)=0,0,(Tenso!AU5*SUM($F$24:$F$31))/($E$3*1000))+IF(SUM($G$24:$G$31)=0,0,(MAKRO!AU5*SUM($G$24:$G$31))/($E$3*1000))+IF(SUM($H$24:$H$31)=0,0,('#7'!AU5*SUM($H$24:$H$31))/($E$3*1000)), "-")</f>
        <v>-</v>
      </c>
      <c r="O6" s="287">
        <f>IF(ISNUMBER('KNO3'!AX5), 'KNO3'!AX5, 0)+IF(ISNUMBER(KH2PO4!AX5), KH2PO4!AX5, 0)+IF(ISNUMBER(K2SO4!AX5), K2SO4!AX5, 0)+IF(ISNUMBER(MgSO4!AX5), MgSO4!AX5, 0)+IF(ISNUMBER(Tenso!AX5), Tenso!AX5, 0)+IF(ISNUMBER(MAKRO!AX5), MAKRO!AX5, 0)+IF(ISNUMBER('#7'!AX5), '#7'!AX5, 0)</f>
        <v>0</v>
      </c>
      <c r="P6" s="322" t="str">
        <f>IF($E$4, IF(SUM($B$38:$B$45)=0,0,('KNO3'!AU5*SUM($B$38:$B$45))/($E$4*1000))+IF(SUM($C$38:$C$45)=0,0,(KH2PO4!AU5*SUM($C$38:$C$45))/($E$4*1000))+IF(SUM($D$38:$D$45)=0,0,(K2SO4!AU5*SUM($D$38:$D$45))/($E$4*1000))+IF(SUM($E$38:$E$45)=0,0,(MgSO4!AU5*SUM($E$38:$E$45))/($E$4*1000))+IF(SUM($F$38:$F$45)=0,0,(Tenso!AU5*SUM($F$38:$F$45))/($E$4*1000))+IF(SUM($G$38:$G$45)=0,0,(MAKRO!AU5*SUM($G$38:$G$45))/($E$4*1000))+IF(SUM($H$38:$H$45)=0,0,('#7'!AU5*SUM($H$38:$H$45))/($E$4*1000)), "-")</f>
        <v>-</v>
      </c>
      <c r="Q6" s="45"/>
    </row>
    <row r="7" spans="1:17" ht="15" customHeight="1" x14ac:dyDescent="0.25">
      <c r="A7" s="420" t="s">
        <v>177</v>
      </c>
      <c r="B7" s="421" t="s">
        <v>127</v>
      </c>
      <c r="C7" s="422"/>
      <c r="D7" s="422"/>
      <c r="E7" s="422"/>
      <c r="F7" s="422"/>
      <c r="G7" s="422"/>
      <c r="H7" s="423"/>
      <c r="I7" s="48"/>
      <c r="J7" s="321" t="str">
        <f>'pomocne tabulky'!K6</f>
        <v>H</v>
      </c>
      <c r="K7" s="287">
        <f>IF(ISNUMBER('KNO3'!AV6), 'KNO3'!AV6, 0)+IF(ISNUMBER(KH2PO4!AV6), KH2PO4!AV6, 0)+IF(ISNUMBER(K2SO4!AV6), K2SO4!AV6, 0)+IF(ISNUMBER(MgSO4!AV6), MgSO4!AV6, 0)+IF(ISNUMBER(Tenso!AV6), Tenso!AV6, 0)+IF(ISNUMBER(MAKRO!AV6), MAKRO!AV6, 0)+IF(ISNUMBER('#7'!AV6), '#7'!AV6, 0)</f>
        <v>1.188783405227714</v>
      </c>
      <c r="L7" s="314">
        <f>IF($E$2, IF(SUM($B$10:$B$17)=0,0,('KNO3'!AU6*SUM($B$10:$B$17))/($E$2*1000))+IF(SUM($C$10:$C$17)=0,0,(KH2PO4!AU6*SUM($C$10:$C$17))/($E$2*1000))+IF(SUM($D$10:$D$17)=0,0,(K2SO4!AU6*SUM($D$10:$D$17))/($E$2*1000))+IF(SUM($E$10:$E$17)=0,0,(MgSO4!AU6*SUM($E$10:$E$17))/($E$2*1000))+IF(SUM($F$10:$F$17)=0,0,(Tenso!AU6*SUM($F$10:$F$17))/($E$2*1000))+IF(SUM($G$10:$G$17)=0,0,(MAKRO!AU6*SUM($G$10:$G$17))/($E$2*1000))+IF(SUM($H$10:$H$17)=0,0,('#7'!AU6*SUM($H$10:$H$17))/($E$2*1000)), "-")</f>
        <v>4.9848030808241572E-2</v>
      </c>
      <c r="M7" s="287">
        <f>IF(ISNUMBER('KNO3'!AW6), 'KNO3'!AW6, 0)+IF(ISNUMBER(KH2PO4!AW6), KH2PO4!AW6, 0)+IF(ISNUMBER(K2SO4!AW6), K2SO4!AW6, 0)+IF(ISNUMBER(MgSO4!AW6), MgSO4!AW6, 0)+IF(ISNUMBER(Tenso!AW6), Tenso!AW6, 0)+IF(ISNUMBER(MAKRO!AW6), MAKRO!AW6, 0)+IF(ISNUMBER('#7'!AW6), '#7'!AW6, 0)</f>
        <v>0</v>
      </c>
      <c r="N7" s="314" t="str">
        <f>IF($E$3, IF(SUM($B$24:$B$31)=0,0,('KNO3'!AU6*SUM($B$24:$B$31))/($E$3*1000))+IF(SUM($C$24:$C$31)=0,0,(KH2PO4!AU6*SUM($C$24:$C$31))/($E$3*1000))+IF(SUM($D$24:$D$31)=0,0,(K2SO4!AU6*SUM($D$24:$D$31))/($E$3*1000))+IF(SUM($E$24:$E$31)=0,0,(MgSO4!AU6*SUM($E$24:$E$31))/($E$3*1000))+IF(SUM($F$24:$F$31)=0,0,(Tenso!AU6*SUM($F$24:$F$31))/($E$3*1000))+IF(SUM($G$24:$G$31)=0,0,(MAKRO!AU6*SUM($G$24:$G$31))/($E$3*1000))+IF(SUM($H$24:$H$31)=0,0,('#7'!AU6*SUM($H$24:$H$31))/($E$3*1000)), "-")</f>
        <v>-</v>
      </c>
      <c r="O7" s="287">
        <f>IF(ISNUMBER('KNO3'!AX6), 'KNO3'!AX6, 0)+IF(ISNUMBER(KH2PO4!AX6), KH2PO4!AX6, 0)+IF(ISNUMBER(K2SO4!AX6), K2SO4!AX6, 0)+IF(ISNUMBER(MgSO4!AX6), MgSO4!AX6, 0)+IF(ISNUMBER(Tenso!AX6), Tenso!AX6, 0)+IF(ISNUMBER(MAKRO!AX6), MAKRO!AX6, 0)+IF(ISNUMBER('#7'!AX6), '#7'!AX6, 0)</f>
        <v>0</v>
      </c>
      <c r="P7" s="322" t="str">
        <f>IF($E$4, IF(SUM($B$38:$B$45)=0,0,('KNO3'!AU6*SUM($B$38:$B$45))/($E$4*1000))+IF(SUM($C$38:$C$45)=0,0,(KH2PO4!AU6*SUM($C$38:$C$45))/($E$4*1000))+IF(SUM($D$38:$D$45)=0,0,(K2SO4!AU6*SUM($D$38:$D$45))/($E$4*1000))+IF(SUM($E$38:$E$45)=0,0,(MgSO4!AU6*SUM($E$38:$E$45))/($E$4*1000))+IF(SUM($F$38:$F$45)=0,0,(Tenso!AU6*SUM($F$38:$F$45))/($E$4*1000))+IF(SUM($G$38:$G$45)=0,0,(MAKRO!AU6*SUM($G$38:$G$45))/($E$4*1000))+IF(SUM($H$38:$H$45)=0,0,('#7'!AU6*SUM($H$38:$H$45))/($E$4*1000)), "-")</f>
        <v>-</v>
      </c>
      <c r="Q7" s="45"/>
    </row>
    <row r="8" spans="1:17" ht="15" customHeight="1" thickBot="1" x14ac:dyDescent="0.3">
      <c r="A8" s="405"/>
      <c r="B8" s="100" t="s">
        <v>128</v>
      </c>
      <c r="C8" s="98" t="s">
        <v>129</v>
      </c>
      <c r="D8" s="90" t="s">
        <v>130</v>
      </c>
      <c r="E8" s="90" t="s">
        <v>131</v>
      </c>
      <c r="F8" s="90" t="s">
        <v>132</v>
      </c>
      <c r="G8" s="90" t="s">
        <v>169</v>
      </c>
      <c r="H8" s="92" t="s">
        <v>347</v>
      </c>
      <c r="I8" s="48"/>
      <c r="J8" s="321" t="str">
        <f>'pomocne tabulky'!K7</f>
        <v>K</v>
      </c>
      <c r="K8" s="287">
        <f>IF(ISNUMBER('KNO3'!AV7), 'KNO3'!AV7, 0)+IF(ISNUMBER(KH2PO4!AV7), KH2PO4!AV7, 0)+IF(ISNUMBER(K2SO4!AV7), K2SO4!AV7, 0)+IF(ISNUMBER(MgSO4!AV7), MgSO4!AV7, 0)+IF(ISNUMBER(Tenso!AV7), Tenso!AV7, 0)+IF(ISNUMBER(MAKRO!AV7), MAKRO!AV7, 0)+IF(ISNUMBER('#7'!AV7), '#7'!AV7, 0)</f>
        <v>7.599197642716029</v>
      </c>
      <c r="L8" s="314">
        <f>IF($E$2, IF(SUM($B$10:$B$17)=0,0,('KNO3'!AU7*SUM($B$10:$B$17))/($E$2*1000))+IF(SUM($C$10:$C$17)=0,0,(KH2PO4!AU7*SUM($C$10:$C$17))/($E$2*1000))+IF(SUM($D$10:$D$17)=0,0,(K2SO4!AU7*SUM($D$10:$D$17))/($E$2*1000))+IF(SUM($E$10:$E$17)=0,0,(MgSO4!AU7*SUM($E$10:$E$17))/($E$2*1000))+IF(SUM($F$10:$F$17)=0,0,(Tenso!AU7*SUM($F$10:$F$17))/($E$2*1000))+IF(SUM($G$10:$G$17)=0,0,(MAKRO!AU7*SUM($G$10:$G$17))/($E$2*1000))+IF(SUM($H$10:$H$17)=0,0,('#7'!AU7*SUM($H$10:$H$17))/($E$2*1000)), "-")</f>
        <v>15.853581107405997</v>
      </c>
      <c r="M8" s="287">
        <f>IF(ISNUMBER('KNO3'!AW7), 'KNO3'!AW7, 0)+IF(ISNUMBER(KH2PO4!AW7), KH2PO4!AW7, 0)+IF(ISNUMBER(K2SO4!AW7), K2SO4!AW7, 0)+IF(ISNUMBER(MgSO4!AW7), MgSO4!AW7, 0)+IF(ISNUMBER(Tenso!AW7), Tenso!AW7, 0)+IF(ISNUMBER(MAKRO!AW7), MAKRO!AW7, 0)+IF(ISNUMBER('#7'!AW7), '#7'!AW7, 0)</f>
        <v>0</v>
      </c>
      <c r="N8" s="314" t="str">
        <f>IF($E$3, IF(SUM($B$24:$B$31)=0,0,('KNO3'!AU7*SUM($B$24:$B$31))/($E$3*1000))+IF(SUM($C$24:$C$31)=0,0,(KH2PO4!AU7*SUM($C$24:$C$31))/($E$3*1000))+IF(SUM($D$24:$D$31)=0,0,(K2SO4!AU7*SUM($D$24:$D$31))/($E$3*1000))+IF(SUM($E$24:$E$31)=0,0,(MgSO4!AU7*SUM($E$24:$E$31))/($E$3*1000))+IF(SUM($F$24:$F$31)=0,0,(Tenso!AU7*SUM($F$24:$F$31))/($E$3*1000))+IF(SUM($G$24:$G$31)=0,0,(MAKRO!AU7*SUM($G$24:$G$31))/($E$3*1000))+IF(SUM($H$24:$H$31)=0,0,('#7'!AU7*SUM($H$24:$H$31))/($E$3*1000)), "-")</f>
        <v>-</v>
      </c>
      <c r="O8" s="287">
        <f>IF(ISNUMBER('KNO3'!AX7), 'KNO3'!AX7, 0)+IF(ISNUMBER(KH2PO4!AX7), KH2PO4!AX7, 0)+IF(ISNUMBER(K2SO4!AX7), K2SO4!AX7, 0)+IF(ISNUMBER(MgSO4!AX7), MgSO4!AX7, 0)+IF(ISNUMBER(Tenso!AX7), Tenso!AX7, 0)+IF(ISNUMBER(MAKRO!AX7), MAKRO!AX7, 0)+IF(ISNUMBER('#7'!AX7), '#7'!AX7, 0)</f>
        <v>0</v>
      </c>
      <c r="P8" s="322" t="str">
        <f>IF($E$4, IF(SUM($B$38:$B$45)=0,0,('KNO3'!AU7*SUM($B$38:$B$45))/($E$4*1000))+IF(SUM($C$38:$C$45)=0,0,(KH2PO4!AU7*SUM($C$38:$C$45))/($E$4*1000))+IF(SUM($D$38:$D$45)=0,0,(K2SO4!AU7*SUM($D$38:$D$45))/($E$4*1000))+IF(SUM($E$38:$E$45)=0,0,(MgSO4!AU7*SUM($E$38:$E$45))/($E$4*1000))+IF(SUM($F$38:$F$45)=0,0,(Tenso!AU7*SUM($F$38:$F$45))/($E$4*1000))+IF(SUM($G$38:$G$45)=0,0,(MAKRO!AU7*SUM($G$38:$G$45))/($E$4*1000))+IF(SUM($H$38:$H$45)=0,0,('#7'!AU7*SUM($H$38:$H$45))/($E$4*1000)), "-")</f>
        <v>-</v>
      </c>
      <c r="Q8" s="45"/>
    </row>
    <row r="9" spans="1:17" s="87" customFormat="1" ht="15" customHeight="1" thickBot="1" x14ac:dyDescent="0.3">
      <c r="A9" s="406"/>
      <c r="B9" s="96" t="s">
        <v>4</v>
      </c>
      <c r="C9" s="99" t="s">
        <v>7</v>
      </c>
      <c r="D9" s="96" t="s">
        <v>3</v>
      </c>
      <c r="E9" s="96" t="s">
        <v>1</v>
      </c>
      <c r="F9" s="96" t="s">
        <v>373</v>
      </c>
      <c r="G9" s="96" t="s">
        <v>372</v>
      </c>
      <c r="H9" s="97"/>
      <c r="I9" s="91"/>
      <c r="J9" s="321" t="str">
        <f>'pomocne tabulky'!K8</f>
        <v>Cl</v>
      </c>
      <c r="K9" s="287">
        <f>IF(ISNUMBER('KNO3'!AV8), 'KNO3'!AV8, 0)+IF(ISNUMBER(KH2PO4!AV8), KH2PO4!AV8, 0)+IF(ISNUMBER(K2SO4!AV8), K2SO4!AV8, 0)+IF(ISNUMBER(MgSO4!AV8), MgSO4!AV8, 0)+IF(ISNUMBER(Tenso!AV8), Tenso!AV8, 0)+IF(ISNUMBER(MAKRO!AV8), MAKRO!AV8, 0)+IF(ISNUMBER('#7'!AV8), '#7'!AV8, 0)</f>
        <v>0</v>
      </c>
      <c r="L9" s="314">
        <f>IF($E$2, IF(SUM($B$10:$B$17)=0,0,('KNO3'!AU8*SUM($B$10:$B$17))/($E$2*1000))+IF(SUM($C$10:$C$17)=0,0,(KH2PO4!AU8*SUM($C$10:$C$17))/($E$2*1000))+IF(SUM($D$10:$D$17)=0,0,(K2SO4!AU8*SUM($D$10:$D$17))/($E$2*1000))+IF(SUM($E$10:$E$17)=0,0,(MgSO4!AU8*SUM($E$10:$E$17))/($E$2*1000))+IF(SUM($F$10:$F$17)=0,0,(Tenso!AU8*SUM($F$10:$F$17))/($E$2*1000))+IF(SUM($G$10:$G$17)=0,0,(MAKRO!AU8*SUM($G$10:$G$17))/($E$2*1000))+IF(SUM($H$10:$H$17)=0,0,('#7'!AU8*SUM($H$10:$H$17))/($E$2*1000)), "-")</f>
        <v>0</v>
      </c>
      <c r="M9" s="287">
        <f>IF(ISNUMBER('KNO3'!AW8), 'KNO3'!AW8, 0)+IF(ISNUMBER(KH2PO4!AW8), KH2PO4!AW8, 0)+IF(ISNUMBER(K2SO4!AW8), K2SO4!AW8, 0)+IF(ISNUMBER(MgSO4!AW8), MgSO4!AW8, 0)+IF(ISNUMBER(Tenso!AW8), Tenso!AW8, 0)+IF(ISNUMBER(MAKRO!AW8), MAKRO!AW8, 0)+IF(ISNUMBER('#7'!AW8), '#7'!AW8, 0)</f>
        <v>0</v>
      </c>
      <c r="N9" s="314" t="str">
        <f>IF($E$3, IF(SUM($B$24:$B$31)=0,0,('KNO3'!AU8*SUM($B$24:$B$31))/($E$3*1000))+IF(SUM($C$24:$C$31)=0,0,(KH2PO4!AU8*SUM($C$24:$C$31))/($E$3*1000))+IF(SUM($D$24:$D$31)=0,0,(K2SO4!AU8*SUM($D$24:$D$31))/($E$3*1000))+IF(SUM($E$24:$E$31)=0,0,(MgSO4!AU8*SUM($E$24:$E$31))/($E$3*1000))+IF(SUM($F$24:$F$31)=0,0,(Tenso!AU8*SUM($F$24:$F$31))/($E$3*1000))+IF(SUM($G$24:$G$31)=0,0,(MAKRO!AU8*SUM($G$24:$G$31))/($E$3*1000))+IF(SUM($H$24:$H$31)=0,0,('#7'!AU8*SUM($H$24:$H$31))/($E$3*1000)), "-")</f>
        <v>-</v>
      </c>
      <c r="O9" s="287">
        <f>IF(ISNUMBER('KNO3'!AX8), 'KNO3'!AX8, 0)+IF(ISNUMBER(KH2PO4!AX8), KH2PO4!AX8, 0)+IF(ISNUMBER(K2SO4!AX8), K2SO4!AX8, 0)+IF(ISNUMBER(MgSO4!AX8), MgSO4!AX8, 0)+IF(ISNUMBER(Tenso!AX8), Tenso!AX8, 0)+IF(ISNUMBER(MAKRO!AX8), MAKRO!AX8, 0)+IF(ISNUMBER('#7'!AX8), '#7'!AX8, 0)</f>
        <v>0</v>
      </c>
      <c r="P9" s="322" t="str">
        <f>IF($E$4, IF(SUM($B$38:$B$45)=0,0,('KNO3'!AU8*SUM($B$38:$B$45))/($E$4*1000))+IF(SUM($C$38:$C$45)=0,0,(KH2PO4!AU8*SUM($C$38:$C$45))/($E$4*1000))+IF(SUM($D$38:$D$45)=0,0,(K2SO4!AU8*SUM($D$38:$D$45))/($E$4*1000))+IF(SUM($E$38:$E$45)=0,0,(MgSO4!AU8*SUM($E$38:$E$45))/($E$4*1000))+IF(SUM($F$38:$F$45)=0,0,(Tenso!AU8*SUM($F$38:$F$45))/($E$4*1000))+IF(SUM($G$38:$G$45)=0,0,(MAKRO!AU8*SUM($G$38:$G$45))/($E$4*1000))+IF(SUM($H$38:$H$45)=0,0,('#7'!AU8*SUM($H$38:$H$45))/($E$4*1000)), "-")</f>
        <v>-</v>
      </c>
      <c r="Q9" s="88"/>
    </row>
    <row r="10" spans="1:17" s="87" customFormat="1" ht="15" customHeight="1" x14ac:dyDescent="0.25">
      <c r="A10" s="95" t="s">
        <v>120</v>
      </c>
      <c r="B10" s="368">
        <v>5</v>
      </c>
      <c r="C10" s="368">
        <v>25</v>
      </c>
      <c r="D10" s="368">
        <v>40</v>
      </c>
      <c r="E10" s="368">
        <v>15</v>
      </c>
      <c r="F10" s="368">
        <v>20</v>
      </c>
      <c r="G10" s="280"/>
      <c r="H10" s="281"/>
      <c r="I10" s="91"/>
      <c r="J10" s="321" t="str">
        <f>'pomocne tabulky'!K9</f>
        <v>Fe</v>
      </c>
      <c r="K10" s="287">
        <f>IF(ISNUMBER('KNO3'!AV9), 'KNO3'!AV9, 0)+IF(ISNUMBER(KH2PO4!AV9), KH2PO4!AV9, 0)+IF(ISNUMBER(K2SO4!AV9), K2SO4!AV9, 0)+IF(ISNUMBER(MgSO4!AV9), MgSO4!AV9, 0)+IF(ISNUMBER(Tenso!AV9), Tenso!AV9, 0)+IF(ISNUMBER(MAKRO!AV9), MAKRO!AV9, 0)+IF(ISNUMBER('#7'!AV9), '#7'!AV9, 0)</f>
        <v>3.1695238095238096E-2</v>
      </c>
      <c r="L10" s="314">
        <f>IF($E$2, IF(SUM($B$10:$B$17)=0,0,('KNO3'!AU9*SUM($B$10:$B$17))/($E$2*1000))+IF(SUM($C$10:$C$17)=0,0,(KH2PO4!AU9*SUM($C$10:$C$17))/($E$2*1000))+IF(SUM($D$10:$D$17)=0,0,(K2SO4!AU9*SUM($D$10:$D$17))/($E$2*1000))+IF(SUM($E$10:$E$17)=0,0,(MgSO4!AU9*SUM($E$10:$E$17))/($E$2*1000))+IF(SUM($F$10:$F$17)=0,0,(Tenso!AU9*SUM($F$10:$F$17))/($E$2*1000))+IF(SUM($G$10:$G$17)=0,0,(MAKRO!AU9*SUM($G$10:$G$17))/($E$2*1000))+IF(SUM($H$10:$H$17)=0,0,('#7'!AU9*SUM($H$10:$H$17))/($E$2*1000)), "-")</f>
        <v>0.50712380952380953</v>
      </c>
      <c r="M10" s="287">
        <f>IF(ISNUMBER('KNO3'!AW9), 'KNO3'!AW9, 0)+IF(ISNUMBER(KH2PO4!AW9), KH2PO4!AW9, 0)+IF(ISNUMBER(K2SO4!AW9), K2SO4!AW9, 0)+IF(ISNUMBER(MgSO4!AW9), MgSO4!AW9, 0)+IF(ISNUMBER(Tenso!AW9), Tenso!AW9, 0)+IF(ISNUMBER(MAKRO!AW9), MAKRO!AW9, 0)+IF(ISNUMBER('#7'!AW9), '#7'!AW9, 0)</f>
        <v>0</v>
      </c>
      <c r="N10" s="314" t="str">
        <f>IF($E$3, IF(SUM($B$24:$B$31)=0,0,('KNO3'!AU9*SUM($B$24:$B$31))/($E$3*1000))+IF(SUM($C$24:$C$31)=0,0,(KH2PO4!AU9*SUM($C$24:$C$31))/($E$3*1000))+IF(SUM($D$24:$D$31)=0,0,(K2SO4!AU9*SUM($D$24:$D$31))/($E$3*1000))+IF(SUM($E$24:$E$31)=0,0,(MgSO4!AU9*SUM($E$24:$E$31))/($E$3*1000))+IF(SUM($F$24:$F$31)=0,0,(Tenso!AU9*SUM($F$24:$F$31))/($E$3*1000))+IF(SUM($G$24:$G$31)=0,0,(MAKRO!AU9*SUM($G$24:$G$31))/($E$3*1000))+IF(SUM($H$24:$H$31)=0,0,('#7'!AU9*SUM($H$24:$H$31))/($E$3*1000)), "-")</f>
        <v>-</v>
      </c>
      <c r="O10" s="287">
        <f>IF(ISNUMBER('KNO3'!AX9), 'KNO3'!AX9, 0)+IF(ISNUMBER(KH2PO4!AX9), KH2PO4!AX9, 0)+IF(ISNUMBER(K2SO4!AX9), K2SO4!AX9, 0)+IF(ISNUMBER(MgSO4!AX9), MgSO4!AX9, 0)+IF(ISNUMBER(Tenso!AX9), Tenso!AX9, 0)+IF(ISNUMBER(MAKRO!AX9), MAKRO!AX9, 0)+IF(ISNUMBER('#7'!AX9), '#7'!AX9, 0)</f>
        <v>0</v>
      </c>
      <c r="P10" s="322" t="str">
        <f>IF($E$4, IF(SUM($B$38:$B$45)=0,0,('KNO3'!AU9*SUM($B$38:$B$45))/($E$4*1000))+IF(SUM($C$38:$C$45)=0,0,(KH2PO4!AU9*SUM($C$38:$C$45))/($E$4*1000))+IF(SUM($D$38:$D$45)=0,0,(K2SO4!AU9*SUM($D$38:$D$45))/($E$4*1000))+IF(SUM($E$38:$E$45)=0,0,(MgSO4!AU9*SUM($E$38:$E$45))/($E$4*1000))+IF(SUM($F$38:$F$45)=0,0,(Tenso!AU9*SUM($F$38:$F$45))/($E$4*1000))+IF(SUM($G$38:$G$45)=0,0,(MAKRO!AU9*SUM($G$38:$G$45))/($E$4*1000))+IF(SUM($H$38:$H$45)=0,0,('#7'!AU9*SUM($H$38:$H$45))/($E$4*1000)), "-")</f>
        <v>-</v>
      </c>
      <c r="Q10" s="88"/>
    </row>
    <row r="11" spans="1:17" ht="15" customHeight="1" x14ac:dyDescent="0.25">
      <c r="A11" s="93" t="s">
        <v>121</v>
      </c>
      <c r="B11" s="369">
        <v>2.5</v>
      </c>
      <c r="C11" s="369">
        <v>12.5</v>
      </c>
      <c r="D11" s="369">
        <v>20</v>
      </c>
      <c r="E11" s="369">
        <v>7.5</v>
      </c>
      <c r="F11" s="369">
        <v>10</v>
      </c>
      <c r="G11" s="282"/>
      <c r="H11" s="283"/>
      <c r="I11" s="48"/>
      <c r="J11" s="321" t="str">
        <f>'pomocne tabulky'!K10</f>
        <v>B</v>
      </c>
      <c r="K11" s="287">
        <f>IF(ISNUMBER('KNO3'!AV10), 'KNO3'!AV10, 0)+IF(ISNUMBER(KH2PO4!AV10), KH2PO4!AV10, 0)+IF(ISNUMBER(K2SO4!AV10), K2SO4!AV10, 0)+IF(ISNUMBER(MgSO4!AV10), MgSO4!AV10, 0)+IF(ISNUMBER(Tenso!AV10), Tenso!AV10, 0)+IF(ISNUMBER(MAKRO!AV10), MAKRO!AV10, 0)+IF(ISNUMBER('#7'!AV10), '#7'!AV10, 0)</f>
        <v>4.2920634920634929E-3</v>
      </c>
      <c r="L11" s="314">
        <f>IF($E$2, IF(SUM($B$10:$B$17)=0,0,('KNO3'!AU10*SUM($B$10:$B$17))/($E$2*1000))+IF(SUM($C$10:$C$17)=0,0,(KH2PO4!AU10*SUM($C$10:$C$17))/($E$2*1000))+IF(SUM($D$10:$D$17)=0,0,(K2SO4!AU10*SUM($D$10:$D$17))/($E$2*1000))+IF(SUM($E$10:$E$17)=0,0,(MgSO4!AU10*SUM($E$10:$E$17))/($E$2*1000))+IF(SUM($F$10:$F$17)=0,0,(Tenso!AU10*SUM($F$10:$F$17))/($E$2*1000))+IF(SUM($G$10:$G$17)=0,0,(MAKRO!AU10*SUM($G$10:$G$17))/($E$2*1000))+IF(SUM($H$10:$H$17)=0,0,('#7'!AU10*SUM($H$10:$H$17))/($E$2*1000)), "-")</f>
        <v>6.8673015873015886E-2</v>
      </c>
      <c r="M11" s="287">
        <f>IF(ISNUMBER('KNO3'!AW10), 'KNO3'!AW10, 0)+IF(ISNUMBER(KH2PO4!AW10), KH2PO4!AW10, 0)+IF(ISNUMBER(K2SO4!AW10), K2SO4!AW10, 0)+IF(ISNUMBER(MgSO4!AW10), MgSO4!AW10, 0)+IF(ISNUMBER(Tenso!AW10), Tenso!AW10, 0)+IF(ISNUMBER(MAKRO!AW10), MAKRO!AW10, 0)+IF(ISNUMBER('#7'!AW10), '#7'!AW10, 0)</f>
        <v>0</v>
      </c>
      <c r="N11" s="314" t="str">
        <f>IF($E$3, IF(SUM($B$24:$B$31)=0,0,('KNO3'!AU10*SUM($B$24:$B$31))/($E$3*1000))+IF(SUM($C$24:$C$31)=0,0,(KH2PO4!AU10*SUM($C$24:$C$31))/($E$3*1000))+IF(SUM($D$24:$D$31)=0,0,(K2SO4!AU10*SUM($D$24:$D$31))/($E$3*1000))+IF(SUM($E$24:$E$31)=0,0,(MgSO4!AU10*SUM($E$24:$E$31))/($E$3*1000))+IF(SUM($F$24:$F$31)=0,0,(Tenso!AU10*SUM($F$24:$F$31))/($E$3*1000))+IF(SUM($G$24:$G$31)=0,0,(MAKRO!AU10*SUM($G$24:$G$31))/($E$3*1000))+IF(SUM($H$24:$H$31)=0,0,('#7'!AU10*SUM($H$24:$H$31))/($E$3*1000)), "-")</f>
        <v>-</v>
      </c>
      <c r="O11" s="287">
        <f>IF(ISNUMBER('KNO3'!AX10), 'KNO3'!AX10, 0)+IF(ISNUMBER(KH2PO4!AX10), KH2PO4!AX10, 0)+IF(ISNUMBER(K2SO4!AX10), K2SO4!AX10, 0)+IF(ISNUMBER(MgSO4!AX10), MgSO4!AX10, 0)+IF(ISNUMBER(Tenso!AX10), Tenso!AX10, 0)+IF(ISNUMBER(MAKRO!AX10), MAKRO!AX10, 0)+IF(ISNUMBER('#7'!AX10), '#7'!AX10, 0)</f>
        <v>0</v>
      </c>
      <c r="P11" s="322" t="str">
        <f>IF($E$4, IF(SUM($B$38:$B$45)=0,0,('KNO3'!AU10*SUM($B$38:$B$45))/($E$4*1000))+IF(SUM($C$38:$C$45)=0,0,(KH2PO4!AU10*SUM($C$38:$C$45))/($E$4*1000))+IF(SUM($D$38:$D$45)=0,0,(K2SO4!AU10*SUM($D$38:$D$45))/($E$4*1000))+IF(SUM($E$38:$E$45)=0,0,(MgSO4!AU10*SUM($E$38:$E$45))/($E$4*1000))+IF(SUM($F$38:$F$45)=0,0,(Tenso!AU10*SUM($F$38:$F$45))/($E$4*1000))+IF(SUM($G$38:$G$45)=0,0,(MAKRO!AU10*SUM($G$38:$G$45))/($E$4*1000))+IF(SUM($H$38:$H$45)=0,0,('#7'!AU10*SUM($H$38:$H$45))/($E$4*1000)), "-")</f>
        <v>-</v>
      </c>
      <c r="Q11" s="45"/>
    </row>
    <row r="12" spans="1:17" ht="15" customHeight="1" x14ac:dyDescent="0.25">
      <c r="A12" s="93" t="s">
        <v>122</v>
      </c>
      <c r="B12" s="369">
        <v>2.5</v>
      </c>
      <c r="C12" s="368">
        <v>12.5</v>
      </c>
      <c r="D12" s="369">
        <v>20</v>
      </c>
      <c r="E12" s="368">
        <v>7.5</v>
      </c>
      <c r="F12" s="368">
        <v>10</v>
      </c>
      <c r="G12" s="280"/>
      <c r="H12" s="281"/>
      <c r="I12" s="48"/>
      <c r="J12" s="321" t="str">
        <f>'pomocne tabulky'!K11</f>
        <v>P</v>
      </c>
      <c r="K12" s="287">
        <f>IF(ISNUMBER('KNO3'!AV11), 'KNO3'!AV11, 0)+IF(ISNUMBER(KH2PO4!AV11), KH2PO4!AV11, 0)+IF(ISNUMBER(K2SO4!AV11), K2SO4!AV11, 0)+IF(ISNUMBER(MgSO4!AV11), MgSO4!AV11, 0)+IF(ISNUMBER(Tenso!AV11), Tenso!AV11, 0)+IF(ISNUMBER(MAKRO!AV11), MAKRO!AV11, 0)+IF(ISNUMBER('#7'!AV11), '#7'!AV11, 0)</f>
        <v>0.24863493662621791</v>
      </c>
      <c r="L12" s="314">
        <f>IF($E$2, IF(SUM($B$10:$B$17)=0,0,('KNO3'!AU11*SUM($B$10:$B$17))/($E$2*1000))+IF(SUM($C$10:$C$17)=0,0,(KH2PO4!AU11*SUM($C$10:$C$17))/($E$2*1000))+IF(SUM($D$10:$D$17)=0,0,(K2SO4!AU11*SUM($D$10:$D$17))/($E$2*1000))+IF(SUM($E$10:$E$17)=0,0,(MgSO4!AU11*SUM($E$10:$E$17))/($E$2*1000))+IF(SUM($F$10:$F$17)=0,0,(Tenso!AU11*SUM($F$10:$F$17))/($E$2*1000))+IF(SUM($G$10:$G$17)=0,0,(MAKRO!AU11*SUM($G$10:$G$17))/($E$2*1000))+IF(SUM($H$10:$H$17)=0,0,('#7'!AU11*SUM($H$10:$H$17))/($E$2*1000)), "-")</f>
        <v>0.7659091526911721</v>
      </c>
      <c r="M12" s="287">
        <f>IF(ISNUMBER('KNO3'!AW11), 'KNO3'!AW11, 0)+IF(ISNUMBER(KH2PO4!AW11), KH2PO4!AW11, 0)+IF(ISNUMBER(K2SO4!AW11), K2SO4!AW11, 0)+IF(ISNUMBER(MgSO4!AW11), MgSO4!AW11, 0)+IF(ISNUMBER(Tenso!AW11), Tenso!AW11, 0)+IF(ISNUMBER(MAKRO!AW11), MAKRO!AW11, 0)+IF(ISNUMBER('#7'!AW11), '#7'!AW11, 0)</f>
        <v>0</v>
      </c>
      <c r="N12" s="314" t="str">
        <f>IF($E$3, IF(SUM($B$24:$B$31)=0,0,('KNO3'!AU11*SUM($B$24:$B$31))/($E$3*1000))+IF(SUM($C$24:$C$31)=0,0,(KH2PO4!AU11*SUM($C$24:$C$31))/($E$3*1000))+IF(SUM($D$24:$D$31)=0,0,(K2SO4!AU11*SUM($D$24:$D$31))/($E$3*1000))+IF(SUM($E$24:$E$31)=0,0,(MgSO4!AU11*SUM($E$24:$E$31))/($E$3*1000))+IF(SUM($F$24:$F$31)=0,0,(Tenso!AU11*SUM($F$24:$F$31))/($E$3*1000))+IF(SUM($G$24:$G$31)=0,0,(MAKRO!AU11*SUM($G$24:$G$31))/($E$3*1000))+IF(SUM($H$24:$H$31)=0,0,('#7'!AU11*SUM($H$24:$H$31))/($E$3*1000)), "-")</f>
        <v>-</v>
      </c>
      <c r="O12" s="287">
        <f>IF(ISNUMBER('KNO3'!AX11), 'KNO3'!AX11, 0)+IF(ISNUMBER(KH2PO4!AX11), KH2PO4!AX11, 0)+IF(ISNUMBER(K2SO4!AX11), K2SO4!AX11, 0)+IF(ISNUMBER(MgSO4!AX11), MgSO4!AX11, 0)+IF(ISNUMBER(Tenso!AX11), Tenso!AX11, 0)+IF(ISNUMBER(MAKRO!AX11), MAKRO!AX11, 0)+IF(ISNUMBER('#7'!AX11), '#7'!AX11, 0)</f>
        <v>0</v>
      </c>
      <c r="P12" s="322" t="str">
        <f>IF($E$4, IF(SUM($B$38:$B$45)=0,0,('KNO3'!AU11*SUM($B$38:$B$45))/($E$4*1000))+IF(SUM($C$38:$C$45)=0,0,(KH2PO4!AU11*SUM($C$38:$C$45))/($E$4*1000))+IF(SUM($D$38:$D$45)=0,0,(K2SO4!AU11*SUM($D$38:$D$45))/($E$4*1000))+IF(SUM($E$38:$E$45)=0,0,(MgSO4!AU11*SUM($E$38:$E$45))/($E$4*1000))+IF(SUM($F$38:$F$45)=0,0,(Tenso!AU11*SUM($F$38:$F$45))/($E$4*1000))+IF(SUM($G$38:$G$45)=0,0,(MAKRO!AU11*SUM($G$38:$G$45))/($E$4*1000))+IF(SUM($H$38:$H$45)=0,0,('#7'!AU11*SUM($H$38:$H$45))/($E$4*1000)), "-")</f>
        <v>-</v>
      </c>
      <c r="Q12" s="45"/>
    </row>
    <row r="13" spans="1:17" ht="15" customHeight="1" x14ac:dyDescent="0.25">
      <c r="A13" s="93" t="s">
        <v>123</v>
      </c>
      <c r="B13" s="369">
        <v>2.5</v>
      </c>
      <c r="C13" s="369">
        <v>12.5</v>
      </c>
      <c r="D13" s="369">
        <v>20</v>
      </c>
      <c r="E13" s="369">
        <v>7.5</v>
      </c>
      <c r="F13" s="369">
        <v>10</v>
      </c>
      <c r="G13" s="282"/>
      <c r="H13" s="283"/>
      <c r="I13" s="48"/>
      <c r="J13" s="321" t="str">
        <f>'pomocne tabulky'!K12</f>
        <v>Cu</v>
      </c>
      <c r="K13" s="287">
        <f>IF(ISNUMBER('KNO3'!AV12), 'KNO3'!AV12, 0)+IF(ISNUMBER(KH2PO4!AV12), KH2PO4!AV12, 0)+IF(ISNUMBER(K2SO4!AV12), K2SO4!AV12, 0)+IF(ISNUMBER(MgSO4!AV12), MgSO4!AV12, 0)+IF(ISNUMBER(Tenso!AV12), Tenso!AV12, 0)+IF(ISNUMBER(MAKRO!AV12), MAKRO!AV12, 0)+IF(ISNUMBER('#7'!AV12), '#7'!AV12, 0)</f>
        <v>4.3746031746031751E-3</v>
      </c>
      <c r="L13" s="314">
        <f>IF($E$2, IF(SUM($B$10:$B$17)=0,0,('KNO3'!AU12*SUM($B$10:$B$17))/($E$2*1000))+IF(SUM($C$10:$C$17)=0,0,(KH2PO4!AU12*SUM($C$10:$C$17))/($E$2*1000))+IF(SUM($D$10:$D$17)=0,0,(K2SO4!AU12*SUM($D$10:$D$17))/($E$2*1000))+IF(SUM($E$10:$E$17)=0,0,(MgSO4!AU12*SUM($E$10:$E$17))/($E$2*1000))+IF(SUM($F$10:$F$17)=0,0,(Tenso!AU12*SUM($F$10:$F$17))/($E$2*1000))+IF(SUM($G$10:$G$17)=0,0,(MAKRO!AU12*SUM($G$10:$G$17))/($E$2*1000))+IF(SUM($H$10:$H$17)=0,0,('#7'!AU12*SUM($H$10:$H$17))/($E$2*1000)), "-")</f>
        <v>6.9993650793650802E-2</v>
      </c>
      <c r="M13" s="287">
        <f>IF(ISNUMBER('KNO3'!AW12), 'KNO3'!AW12, 0)+IF(ISNUMBER(KH2PO4!AW12), KH2PO4!AW12, 0)+IF(ISNUMBER(K2SO4!AW12), K2SO4!AW12, 0)+IF(ISNUMBER(MgSO4!AW12), MgSO4!AW12, 0)+IF(ISNUMBER(Tenso!AW12), Tenso!AW12, 0)+IF(ISNUMBER(MAKRO!AW12), MAKRO!AW12, 0)+IF(ISNUMBER('#7'!AW12), '#7'!AW12, 0)</f>
        <v>0</v>
      </c>
      <c r="N13" s="314" t="str">
        <f>IF($E$3, IF(SUM($B$24:$B$31)=0,0,('KNO3'!AU12*SUM($B$24:$B$31))/($E$3*1000))+IF(SUM($C$24:$C$31)=0,0,(KH2PO4!AU12*SUM($C$24:$C$31))/($E$3*1000))+IF(SUM($D$24:$D$31)=0,0,(K2SO4!AU12*SUM($D$24:$D$31))/($E$3*1000))+IF(SUM($E$24:$E$31)=0,0,(MgSO4!AU12*SUM($E$24:$E$31))/($E$3*1000))+IF(SUM($F$24:$F$31)=0,0,(Tenso!AU12*SUM($F$24:$F$31))/($E$3*1000))+IF(SUM($G$24:$G$31)=0,0,(MAKRO!AU12*SUM($G$24:$G$31))/($E$3*1000))+IF(SUM($H$24:$H$31)=0,0,('#7'!AU12*SUM($H$24:$H$31))/($E$3*1000)), "-")</f>
        <v>-</v>
      </c>
      <c r="O13" s="287">
        <f>IF(ISNUMBER('KNO3'!AX12), 'KNO3'!AX12, 0)+IF(ISNUMBER(KH2PO4!AX12), KH2PO4!AX12, 0)+IF(ISNUMBER(K2SO4!AX12), K2SO4!AX12, 0)+IF(ISNUMBER(MgSO4!AX12), MgSO4!AX12, 0)+IF(ISNUMBER(Tenso!AX12), Tenso!AX12, 0)+IF(ISNUMBER(MAKRO!AX12), MAKRO!AX12, 0)+IF(ISNUMBER('#7'!AX12), '#7'!AX12, 0)</f>
        <v>0</v>
      </c>
      <c r="P13" s="322" t="str">
        <f>IF($E$4, IF(SUM($B$38:$B$45)=0,0,('KNO3'!AU12*SUM($B$38:$B$45))/($E$4*1000))+IF(SUM($C$38:$C$45)=0,0,(KH2PO4!AU12*SUM($C$38:$C$45))/($E$4*1000))+IF(SUM($D$38:$D$45)=0,0,(K2SO4!AU12*SUM($D$38:$D$45))/($E$4*1000))+IF(SUM($E$38:$E$45)=0,0,(MgSO4!AU12*SUM($E$38:$E$45))/($E$4*1000))+IF(SUM($F$38:$F$45)=0,0,(Tenso!AU12*SUM($F$38:$F$45))/($E$4*1000))+IF(SUM($G$38:$G$45)=0,0,(MAKRO!AU12*SUM($G$38:$G$45))/($E$4*1000))+IF(SUM($H$38:$H$45)=0,0,('#7'!AU12*SUM($H$38:$H$45))/($E$4*1000)), "-")</f>
        <v>-</v>
      </c>
      <c r="Q13" s="45"/>
    </row>
    <row r="14" spans="1:17" ht="15" customHeight="1" x14ac:dyDescent="0.25">
      <c r="A14" s="93" t="s">
        <v>124</v>
      </c>
      <c r="B14" s="369">
        <v>2.5</v>
      </c>
      <c r="C14" s="368">
        <v>12.5</v>
      </c>
      <c r="D14" s="369">
        <v>20</v>
      </c>
      <c r="E14" s="368">
        <v>7.5</v>
      </c>
      <c r="F14" s="368">
        <v>10</v>
      </c>
      <c r="G14" s="280"/>
      <c r="H14" s="281"/>
      <c r="I14" s="48"/>
      <c r="J14" s="321" t="str">
        <f>'pomocne tabulky'!K13</f>
        <v>Zn</v>
      </c>
      <c r="K14" s="287">
        <f>IF(ISNUMBER('KNO3'!AV13), 'KNO3'!AV13, 0)+IF(ISNUMBER(KH2PO4!AV13), KH2PO4!AV13, 0)+IF(ISNUMBER(K2SO4!AV13), K2SO4!AV13, 0)+IF(ISNUMBER(MgSO4!AV13), MgSO4!AV13, 0)+IF(ISNUMBER(Tenso!AV13), Tenso!AV13, 0)+IF(ISNUMBER(MAKRO!AV13), MAKRO!AV13, 0)+IF(ISNUMBER('#7'!AV13), '#7'!AV13, 0)</f>
        <v>4.3746031746031751E-3</v>
      </c>
      <c r="L14" s="314">
        <f>IF($E$2, IF(SUM($B$10:$B$17)=0,0,('KNO3'!AU13*SUM($B$10:$B$17))/($E$2*1000))+IF(SUM($C$10:$C$17)=0,0,(KH2PO4!AU13*SUM($C$10:$C$17))/($E$2*1000))+IF(SUM($D$10:$D$17)=0,0,(K2SO4!AU13*SUM($D$10:$D$17))/($E$2*1000))+IF(SUM($E$10:$E$17)=0,0,(MgSO4!AU13*SUM($E$10:$E$17))/($E$2*1000))+IF(SUM($F$10:$F$17)=0,0,(Tenso!AU13*SUM($F$10:$F$17))/($E$2*1000))+IF(SUM($G$10:$G$17)=0,0,(MAKRO!AU13*SUM($G$10:$G$17))/($E$2*1000))+IF(SUM($H$10:$H$17)=0,0,('#7'!AU13*SUM($H$10:$H$17))/($E$2*1000)), "-")</f>
        <v>6.9993650793650802E-2</v>
      </c>
      <c r="M14" s="287">
        <f>IF(ISNUMBER('KNO3'!AW13), 'KNO3'!AW13, 0)+IF(ISNUMBER(KH2PO4!AW13), KH2PO4!AW13, 0)+IF(ISNUMBER(K2SO4!AW13), K2SO4!AW13, 0)+IF(ISNUMBER(MgSO4!AW13), MgSO4!AW13, 0)+IF(ISNUMBER(Tenso!AW13), Tenso!AW13, 0)+IF(ISNUMBER(MAKRO!AW13), MAKRO!AW13, 0)+IF(ISNUMBER('#7'!AW13), '#7'!AW13, 0)</f>
        <v>0</v>
      </c>
      <c r="N14" s="314" t="str">
        <f>IF($E$3, IF(SUM($B$24:$B$31)=0,0,('KNO3'!AU13*SUM($B$24:$B$31))/($E$3*1000))+IF(SUM($C$24:$C$31)=0,0,(KH2PO4!AU13*SUM($C$24:$C$31))/($E$3*1000))+IF(SUM($D$24:$D$31)=0,0,(K2SO4!AU13*SUM($D$24:$D$31))/($E$3*1000))+IF(SUM($E$24:$E$31)=0,0,(MgSO4!AU13*SUM($E$24:$E$31))/($E$3*1000))+IF(SUM($F$24:$F$31)=0,0,(Tenso!AU13*SUM($F$24:$F$31))/($E$3*1000))+IF(SUM($G$24:$G$31)=0,0,(MAKRO!AU13*SUM($G$24:$G$31))/($E$3*1000))+IF(SUM($H$24:$H$31)=0,0,('#7'!AU13*SUM($H$24:$H$31))/($E$3*1000)), "-")</f>
        <v>-</v>
      </c>
      <c r="O14" s="287">
        <f>IF(ISNUMBER('KNO3'!AX13), 'KNO3'!AX13, 0)+IF(ISNUMBER(KH2PO4!AX13), KH2PO4!AX13, 0)+IF(ISNUMBER(K2SO4!AX13), K2SO4!AX13, 0)+IF(ISNUMBER(MgSO4!AX13), MgSO4!AX13, 0)+IF(ISNUMBER(Tenso!AX13), Tenso!AX13, 0)+IF(ISNUMBER(MAKRO!AX13), MAKRO!AX13, 0)+IF(ISNUMBER('#7'!AX13), '#7'!AX13, 0)</f>
        <v>0</v>
      </c>
      <c r="P14" s="322" t="str">
        <f>IF($E$4, IF(SUM($B$38:$B$45)=0,0,('KNO3'!AU13*SUM($B$38:$B$45))/($E$4*1000))+IF(SUM($C$38:$C$45)=0,0,(KH2PO4!AU13*SUM($C$38:$C$45))/($E$4*1000))+IF(SUM($D$38:$D$45)=0,0,(K2SO4!AU13*SUM($D$38:$D$45))/($E$4*1000))+IF(SUM($E$38:$E$45)=0,0,(MgSO4!AU13*SUM($E$38:$E$45))/($E$4*1000))+IF(SUM($F$38:$F$45)=0,0,(Tenso!AU13*SUM($F$38:$F$45))/($E$4*1000))+IF(SUM($G$38:$G$45)=0,0,(MAKRO!AU13*SUM($G$38:$G$45))/($E$4*1000))+IF(SUM($H$38:$H$45)=0,0,('#7'!AU13*SUM($H$38:$H$45))/($E$4*1000)), "-")</f>
        <v>-</v>
      </c>
      <c r="Q14" s="45"/>
    </row>
    <row r="15" spans="1:17" ht="15" customHeight="1" x14ac:dyDescent="0.25">
      <c r="A15" s="93" t="s">
        <v>125</v>
      </c>
      <c r="B15" s="369">
        <v>2.5</v>
      </c>
      <c r="C15" s="369">
        <v>12.5</v>
      </c>
      <c r="D15" s="369">
        <v>20</v>
      </c>
      <c r="E15" s="369">
        <v>7.5</v>
      </c>
      <c r="F15" s="369">
        <v>10</v>
      </c>
      <c r="G15" s="282"/>
      <c r="H15" s="283"/>
      <c r="I15" s="48"/>
      <c r="J15" s="321" t="str">
        <f>'pomocne tabulky'!K14</f>
        <v>Na</v>
      </c>
      <c r="K15" s="287">
        <f>IF(ISNUMBER('KNO3'!AV14), 'KNO3'!AV14, 0)+IF(ISNUMBER(KH2PO4!AV14), KH2PO4!AV14, 0)+IF(ISNUMBER(K2SO4!AV14), K2SO4!AV14, 0)+IF(ISNUMBER(MgSO4!AV14), MgSO4!AV14, 0)+IF(ISNUMBER(Tenso!AV14), Tenso!AV14, 0)+IF(ISNUMBER(MAKRO!AV14), MAKRO!AV14, 0)+IF(ISNUMBER('#7'!AV14), '#7'!AV14, 0)</f>
        <v>0</v>
      </c>
      <c r="L15" s="314">
        <f>IF($E$2, IF(SUM($B$10:$B$17)=0,0,('KNO3'!AU14*SUM($B$10:$B$17))/($E$2*1000))+IF(SUM($C$10:$C$17)=0,0,(KH2PO4!AU14*SUM($C$10:$C$17))/($E$2*1000))+IF(SUM($D$10:$D$17)=0,0,(K2SO4!AU14*SUM($D$10:$D$17))/($E$2*1000))+IF(SUM($E$10:$E$17)=0,0,(MgSO4!AU14*SUM($E$10:$E$17))/($E$2*1000))+IF(SUM($F$10:$F$17)=0,0,(Tenso!AU14*SUM($F$10:$F$17))/($E$2*1000))+IF(SUM($G$10:$G$17)=0,0,(MAKRO!AU14*SUM($G$10:$G$17))/($E$2*1000))+IF(SUM($H$10:$H$17)=0,0,('#7'!AU14*SUM($H$10:$H$17))/($E$2*1000)), "-")</f>
        <v>0</v>
      </c>
      <c r="M15" s="287">
        <f>IF(ISNUMBER('KNO3'!AW14), 'KNO3'!AW14, 0)+IF(ISNUMBER(KH2PO4!AW14), KH2PO4!AW14, 0)+IF(ISNUMBER(K2SO4!AW14), K2SO4!AW14, 0)+IF(ISNUMBER(MgSO4!AW14), MgSO4!AW14, 0)+IF(ISNUMBER(Tenso!AW14), Tenso!AW14, 0)+IF(ISNUMBER(MAKRO!AW14), MAKRO!AW14, 0)+IF(ISNUMBER('#7'!AW14), '#7'!AW14, 0)</f>
        <v>0</v>
      </c>
      <c r="N15" s="314" t="str">
        <f>IF($E$3, IF(SUM($B$24:$B$31)=0,0,('KNO3'!AU14*SUM($B$24:$B$31))/($E$3*1000))+IF(SUM($C$24:$C$31)=0,0,(KH2PO4!AU14*SUM($C$24:$C$31))/($E$3*1000))+IF(SUM($D$24:$D$31)=0,0,(K2SO4!AU14*SUM($D$24:$D$31))/($E$3*1000))+IF(SUM($E$24:$E$31)=0,0,(MgSO4!AU14*SUM($E$24:$E$31))/($E$3*1000))+IF(SUM($F$24:$F$31)=0,0,(Tenso!AU14*SUM($F$24:$F$31))/($E$3*1000))+IF(SUM($G$24:$G$31)=0,0,(MAKRO!AU14*SUM($G$24:$G$31))/($E$3*1000))+IF(SUM($H$24:$H$31)=0,0,('#7'!AU14*SUM($H$24:$H$31))/($E$3*1000)), "-")</f>
        <v>-</v>
      </c>
      <c r="O15" s="287">
        <f>IF(ISNUMBER('KNO3'!AX14), 'KNO3'!AX14, 0)+IF(ISNUMBER(KH2PO4!AX14), KH2PO4!AX14, 0)+IF(ISNUMBER(K2SO4!AX14), K2SO4!AX14, 0)+IF(ISNUMBER(MgSO4!AX14), MgSO4!AX14, 0)+IF(ISNUMBER(Tenso!AX14), Tenso!AX14, 0)+IF(ISNUMBER(MAKRO!AX14), MAKRO!AX14, 0)+IF(ISNUMBER('#7'!AX14), '#7'!AX14, 0)</f>
        <v>0</v>
      </c>
      <c r="P15" s="322" t="str">
        <f>IF($E$4, IF(SUM($B$38:$B$45)=0,0,('KNO3'!AU14*SUM($B$38:$B$45))/($E$4*1000))+IF(SUM($C$38:$C$45)=0,0,(KH2PO4!AU14*SUM($C$38:$C$45))/($E$4*1000))+IF(SUM($D$38:$D$45)=0,0,(K2SO4!AU14*SUM($D$38:$D$45))/($E$4*1000))+IF(SUM($E$38:$E$45)=0,0,(MgSO4!AU14*SUM($E$38:$E$45))/($E$4*1000))+IF(SUM($F$38:$F$45)=0,0,(Tenso!AU14*SUM($F$38:$F$45))/($E$4*1000))+IF(SUM($G$38:$G$45)=0,0,(MAKRO!AU14*SUM($G$38:$G$45))/($E$4*1000))+IF(SUM($H$38:$H$45)=0,0,('#7'!AU14*SUM($H$38:$H$45))/($E$4*1000)), "-")</f>
        <v>-</v>
      </c>
      <c r="Q15" s="45"/>
    </row>
    <row r="16" spans="1:17" ht="15" customHeight="1" x14ac:dyDescent="0.25">
      <c r="A16" s="306" t="s">
        <v>126</v>
      </c>
      <c r="B16" s="369">
        <v>2.5</v>
      </c>
      <c r="C16" s="368">
        <v>12.5</v>
      </c>
      <c r="D16" s="369">
        <v>20</v>
      </c>
      <c r="E16" s="368">
        <v>7.5</v>
      </c>
      <c r="F16" s="370">
        <v>10</v>
      </c>
      <c r="G16" s="307"/>
      <c r="H16" s="308"/>
      <c r="I16" s="48"/>
      <c r="J16" s="321" t="str">
        <f>'pomocne tabulky'!K15</f>
        <v>N</v>
      </c>
      <c r="K16" s="287">
        <f>IF(ISNUMBER('KNO3'!AV15), 'KNO3'!AV15, 0)+IF(ISNUMBER(KH2PO4!AV15), KH2PO4!AV15, 0)+IF(ISNUMBER(K2SO4!AV15), K2SO4!AV15, 0)+IF(ISNUMBER(MgSO4!AV15), MgSO4!AV15, 0)+IF(ISNUMBER(Tenso!AV15), Tenso!AV15, 0)+IF(ISNUMBER(MAKRO!AV15), MAKRO!AV15, 0)+IF(ISNUMBER('#7'!AV15), '#7'!AV15, 0)</f>
        <v>1.7127919817537474</v>
      </c>
      <c r="L16" s="314">
        <f>IF($E$2, IF(SUM($B$10:$B$17)=0,0,('KNO3'!AU15*SUM($B$10:$B$17))/($E$2*1000))+IF(SUM($C$10:$C$17)=0,0,(KH2PO4!AU15*SUM($C$10:$C$17))/($E$2*1000))+IF(SUM($D$10:$D$17)=0,0,(K2SO4!AU15*SUM($D$10:$D$17))/($E$2*1000))+IF(SUM($E$10:$E$17)=0,0,(MgSO4!AU15*SUM($E$10:$E$17))/($E$2*1000))+IF(SUM($F$10:$F$17)=0,0,(Tenso!AU15*SUM($F$10:$F$17))/($E$2*1000))+IF(SUM($G$10:$G$17)=0,0,(MAKRO!AU15*SUM($G$10:$G$17))/($E$2*1000))+IF(SUM($H$10:$H$17)=0,0,('#7'!AU15*SUM($H$10:$H$17))/($E$2*1000)), "-")</f>
        <v>1.0379402997559495</v>
      </c>
      <c r="M16" s="287">
        <f>IF(ISNUMBER('KNO3'!AW15), 'KNO3'!AW15, 0)+IF(ISNUMBER(KH2PO4!AW15), KH2PO4!AW15, 0)+IF(ISNUMBER(K2SO4!AW15), K2SO4!AW15, 0)+IF(ISNUMBER(MgSO4!AW15), MgSO4!AW15, 0)+IF(ISNUMBER(Tenso!AW15), Tenso!AW15, 0)+IF(ISNUMBER(MAKRO!AW15), MAKRO!AW15, 0)+IF(ISNUMBER('#7'!AW15), '#7'!AW15, 0)</f>
        <v>0</v>
      </c>
      <c r="N16" s="314" t="str">
        <f>IF($E$3, IF(SUM($B$24:$B$31)=0,0,('KNO3'!AU15*SUM($B$24:$B$31))/($E$3*1000))+IF(SUM($C$24:$C$31)=0,0,(KH2PO4!AU15*SUM($C$24:$C$31))/($E$3*1000))+IF(SUM($D$24:$D$31)=0,0,(K2SO4!AU15*SUM($D$24:$D$31))/($E$3*1000))+IF(SUM($E$24:$E$31)=0,0,(MgSO4!AU15*SUM($E$24:$E$31))/($E$3*1000))+IF(SUM($F$24:$F$31)=0,0,(Tenso!AU15*SUM($F$24:$F$31))/($E$3*1000))+IF(SUM($G$24:$G$31)=0,0,(MAKRO!AU15*SUM($G$24:$G$31))/($E$3*1000))+IF(SUM($H$24:$H$31)=0,0,('#7'!AU15*SUM($H$24:$H$31))/($E$3*1000)), "-")</f>
        <v>-</v>
      </c>
      <c r="O16" s="287">
        <f>IF(ISNUMBER('KNO3'!AX15), 'KNO3'!AX15, 0)+IF(ISNUMBER(KH2PO4!AX15), KH2PO4!AX15, 0)+IF(ISNUMBER(K2SO4!AX15), K2SO4!AX15, 0)+IF(ISNUMBER(MgSO4!AX15), MgSO4!AX15, 0)+IF(ISNUMBER(Tenso!AX15), Tenso!AX15, 0)+IF(ISNUMBER(MAKRO!AX15), MAKRO!AX15, 0)+IF(ISNUMBER('#7'!AX15), '#7'!AX15, 0)</f>
        <v>0</v>
      </c>
      <c r="P16" s="322" t="str">
        <f>IF($E$4, IF(SUM($B$38:$B$45)=0,0,('KNO3'!AU15*SUM($B$38:$B$45))/($E$4*1000))+IF(SUM($C$38:$C$45)=0,0,(KH2PO4!AU15*SUM($C$38:$C$45))/($E$4*1000))+IF(SUM($D$38:$D$45)=0,0,(K2SO4!AU15*SUM($D$38:$D$45))/($E$4*1000))+IF(SUM($E$38:$E$45)=0,0,(MgSO4!AU15*SUM($E$38:$E$45))/($E$4*1000))+IF(SUM($F$38:$F$45)=0,0,(Tenso!AU15*SUM($F$38:$F$45))/($E$4*1000))+IF(SUM($G$38:$G$45)=0,0,(MAKRO!AU15*SUM($G$38:$G$45))/($E$4*1000))+IF(SUM($H$38:$H$45)=0,0,('#7'!AU15*SUM($H$38:$H$45))/($E$4*1000)), "-")</f>
        <v>-</v>
      </c>
      <c r="Q16" s="45"/>
    </row>
    <row r="17" spans="1:17" ht="15" customHeight="1" thickBot="1" x14ac:dyDescent="0.3">
      <c r="A17" s="94" t="s">
        <v>334</v>
      </c>
      <c r="B17" s="284"/>
      <c r="C17" s="284"/>
      <c r="D17" s="313"/>
      <c r="E17" s="284"/>
      <c r="F17" s="284"/>
      <c r="G17" s="284"/>
      <c r="H17" s="285"/>
      <c r="I17" s="48"/>
      <c r="J17" s="321" t="str">
        <f>'pomocne tabulky'!K16</f>
        <v>Mn</v>
      </c>
      <c r="K17" s="287">
        <f>IF(ISNUMBER('KNO3'!AV16), 'KNO3'!AV16, 0)+IF(ISNUMBER(KH2PO4!AV16), KH2PO4!AV16, 0)+IF(ISNUMBER(K2SO4!AV16), K2SO4!AV16, 0)+IF(ISNUMBER(MgSO4!AV16), MgSO4!AV16, 0)+IF(ISNUMBER(Tenso!AV16), Tenso!AV16, 0)+IF(ISNUMBER(MAKRO!AV16), MAKRO!AV16, 0)+IF(ISNUMBER('#7'!AV16), '#7'!AV16, 0)</f>
        <v>2.1212698412698412E-2</v>
      </c>
      <c r="L17" s="314">
        <f>IF($E$2, IF(SUM($B$10:$B$17)=0,0,('KNO3'!AU16*SUM($B$10:$B$17))/($E$2*1000))+IF(SUM($C$10:$C$17)=0,0,(KH2PO4!AU16*SUM($C$10:$C$17))/($E$2*1000))+IF(SUM($D$10:$D$17)=0,0,(K2SO4!AU16*SUM($D$10:$D$17))/($E$2*1000))+IF(SUM($E$10:$E$17)=0,0,(MgSO4!AU16*SUM($E$10:$E$17))/($E$2*1000))+IF(SUM($F$10:$F$17)=0,0,(Tenso!AU16*SUM($F$10:$F$17))/($E$2*1000))+IF(SUM($G$10:$G$17)=0,0,(MAKRO!AU16*SUM($G$10:$G$17))/($E$2*1000))+IF(SUM($H$10:$H$17)=0,0,('#7'!AU16*SUM($H$10:$H$17))/($E$2*1000)), "-")</f>
        <v>0.3394031746031746</v>
      </c>
      <c r="M17" s="287">
        <f>IF(ISNUMBER('KNO3'!AW16), 'KNO3'!AW16, 0)+IF(ISNUMBER(KH2PO4!AW16), KH2PO4!AW16, 0)+IF(ISNUMBER(K2SO4!AW16), K2SO4!AW16, 0)+IF(ISNUMBER(MgSO4!AW16), MgSO4!AW16, 0)+IF(ISNUMBER(Tenso!AW16), Tenso!AW16, 0)+IF(ISNUMBER(MAKRO!AW16), MAKRO!AW16, 0)+IF(ISNUMBER('#7'!AW16), '#7'!AW16, 0)</f>
        <v>0</v>
      </c>
      <c r="N17" s="314" t="str">
        <f>IF($E$3, IF(SUM($B$24:$B$31)=0,0,('KNO3'!AU16*SUM($B$24:$B$31))/($E$3*1000))+IF(SUM($C$24:$C$31)=0,0,(KH2PO4!AU16*SUM($C$24:$C$31))/($E$3*1000))+IF(SUM($D$24:$D$31)=0,0,(K2SO4!AU16*SUM($D$24:$D$31))/($E$3*1000))+IF(SUM($E$24:$E$31)=0,0,(MgSO4!AU16*SUM($E$24:$E$31))/($E$3*1000))+IF(SUM($F$24:$F$31)=0,0,(Tenso!AU16*SUM($F$24:$F$31))/($E$3*1000))+IF(SUM($G$24:$G$31)=0,0,(MAKRO!AU16*SUM($G$24:$G$31))/($E$3*1000))+IF(SUM($H$24:$H$31)=0,0,('#7'!AU16*SUM($H$24:$H$31))/($E$3*1000)), "-")</f>
        <v>-</v>
      </c>
      <c r="O17" s="287">
        <f>IF(ISNUMBER('KNO3'!AX16), 'KNO3'!AX16, 0)+IF(ISNUMBER(KH2PO4!AX16), KH2PO4!AX16, 0)+IF(ISNUMBER(K2SO4!AX16), K2SO4!AX16, 0)+IF(ISNUMBER(MgSO4!AX16), MgSO4!AX16, 0)+IF(ISNUMBER(Tenso!AX16), Tenso!AX16, 0)+IF(ISNUMBER(MAKRO!AX16), MAKRO!AX16, 0)+IF(ISNUMBER('#7'!AX16), '#7'!AX16, 0)</f>
        <v>0</v>
      </c>
      <c r="P17" s="322" t="str">
        <f>IF($E$4, IF(SUM($B$38:$B$45)=0,0,('KNO3'!AU16*SUM($B$38:$B$45))/($E$4*1000))+IF(SUM($C$38:$C$45)=0,0,(KH2PO4!AU16*SUM($C$38:$C$45))/($E$4*1000))+IF(SUM($D$38:$D$45)=0,0,(K2SO4!AU16*SUM($D$38:$D$45))/($E$4*1000))+IF(SUM($E$38:$E$45)=0,0,(MgSO4!AU16*SUM($E$38:$E$45))/($E$4*1000))+IF(SUM($F$38:$F$45)=0,0,(Tenso!AU16*SUM($F$38:$F$45))/($E$4*1000))+IF(SUM($G$38:$G$45)=0,0,(MAKRO!AU16*SUM($G$38:$G$45))/($E$4*1000))+IF(SUM($H$38:$H$45)=0,0,('#7'!AU16*SUM($H$38:$H$45))/($E$4*1000)), "-")</f>
        <v>-</v>
      </c>
      <c r="Q17" s="45"/>
    </row>
    <row r="18" spans="1:17" ht="15" customHeight="1" x14ac:dyDescent="0.25">
      <c r="A18" s="424"/>
      <c r="B18" s="425"/>
      <c r="C18" s="425"/>
      <c r="D18" s="425"/>
      <c r="E18" s="425"/>
      <c r="F18" s="425"/>
      <c r="G18" s="425"/>
      <c r="H18" s="425"/>
      <c r="I18" s="48"/>
      <c r="J18" s="321" t="str">
        <f>'pomocne tabulky'!K17</f>
        <v>Mo</v>
      </c>
      <c r="K18" s="287">
        <f>IF(ISNUMBER('KNO3'!AV17), 'KNO3'!AV17, 0)+IF(ISNUMBER(KH2PO4!AV17), KH2PO4!AV17, 0)+IF(ISNUMBER(K2SO4!AV17), K2SO4!AV17, 0)+IF(ISNUMBER(MgSO4!AV17), MgSO4!AV17, 0)+IF(ISNUMBER(Tenso!AV17), Tenso!AV17, 0)+IF(ISNUMBER(MAKRO!AV17), MAKRO!AV17, 0)+IF(ISNUMBER('#7'!AV17), '#7'!AV17, 0)</f>
        <v>1.0730158730158732E-3</v>
      </c>
      <c r="L18" s="314">
        <f>IF($E$2, IF(SUM($B$10:$B$17)=0,0,('KNO3'!AU17*SUM($B$10:$B$17))/($E$2*1000))+IF(SUM($C$10:$C$17)=0,0,(KH2PO4!AU17*SUM($C$10:$C$17))/($E$2*1000))+IF(SUM($D$10:$D$17)=0,0,(K2SO4!AU17*SUM($D$10:$D$17))/($E$2*1000))+IF(SUM($E$10:$E$17)=0,0,(MgSO4!AU17*SUM($E$10:$E$17))/($E$2*1000))+IF(SUM($F$10:$F$17)=0,0,(Tenso!AU17*SUM($F$10:$F$17))/($E$2*1000))+IF(SUM($G$10:$G$17)=0,0,(MAKRO!AU17*SUM($G$10:$G$17))/($E$2*1000))+IF(SUM($H$10:$H$17)=0,0,('#7'!AU17*SUM($H$10:$H$17))/($E$2*1000)), "-")</f>
        <v>1.7168253968253971E-2</v>
      </c>
      <c r="M18" s="287">
        <f>IF(ISNUMBER('KNO3'!AW17), 'KNO3'!AW17, 0)+IF(ISNUMBER(KH2PO4!AW17), KH2PO4!AW17, 0)+IF(ISNUMBER(K2SO4!AW17), K2SO4!AW17, 0)+IF(ISNUMBER(MgSO4!AW17), MgSO4!AW17, 0)+IF(ISNUMBER(Tenso!AW17), Tenso!AW17, 0)+IF(ISNUMBER(MAKRO!AW17), MAKRO!AW17, 0)+IF(ISNUMBER('#7'!AW17), '#7'!AW17, 0)</f>
        <v>0</v>
      </c>
      <c r="N18" s="314" t="str">
        <f>IF($E$3, IF(SUM($B$24:$B$31)=0,0,('KNO3'!AU17*SUM($B$24:$B$31))/($E$3*1000))+IF(SUM($C$24:$C$31)=0,0,(KH2PO4!AU17*SUM($C$24:$C$31))/($E$3*1000))+IF(SUM($D$24:$D$31)=0,0,(K2SO4!AU17*SUM($D$24:$D$31))/($E$3*1000))+IF(SUM($E$24:$E$31)=0,0,(MgSO4!AU17*SUM($E$24:$E$31))/($E$3*1000))+IF(SUM($F$24:$F$31)=0,0,(Tenso!AU17*SUM($F$24:$F$31))/($E$3*1000))+IF(SUM($G$24:$G$31)=0,0,(MAKRO!AU17*SUM($G$24:$G$31))/($E$3*1000))+IF(SUM($H$24:$H$31)=0,0,('#7'!AU17*SUM($H$24:$H$31))/($E$3*1000)), "-")</f>
        <v>-</v>
      </c>
      <c r="O18" s="287">
        <f>IF(ISNUMBER('KNO3'!AX17), 'KNO3'!AX17, 0)+IF(ISNUMBER(KH2PO4!AX17), KH2PO4!AX17, 0)+IF(ISNUMBER(K2SO4!AX17), K2SO4!AX17, 0)+IF(ISNUMBER(MgSO4!AX17), MgSO4!AX17, 0)+IF(ISNUMBER(Tenso!AX17), Tenso!AX17, 0)+IF(ISNUMBER(MAKRO!AX17), MAKRO!AX17, 0)+IF(ISNUMBER('#7'!AX17), '#7'!AX17, 0)</f>
        <v>0</v>
      </c>
      <c r="P18" s="322" t="str">
        <f>IF($E$4, IF(SUM($B$38:$B$45)=0,0,('KNO3'!AU17*SUM($B$38:$B$45))/($E$4*1000))+IF(SUM($C$38:$C$45)=0,0,(KH2PO4!AU17*SUM($C$38:$C$45))/($E$4*1000))+IF(SUM($D$38:$D$45)=0,0,(K2SO4!AU17*SUM($D$38:$D$45))/($E$4*1000))+IF(SUM($E$38:$E$45)=0,0,(MgSO4!AU17*SUM($E$38:$E$45))/($E$4*1000))+IF(SUM($F$38:$F$45)=0,0,(Tenso!AU17*SUM($F$38:$F$45))/($E$4*1000))+IF(SUM($G$38:$G$45)=0,0,(MAKRO!AU17*SUM($G$38:$G$45))/($E$4*1000))+IF(SUM($H$38:$H$45)=0,0,('#7'!AU17*SUM($H$38:$H$45))/($E$4*1000)), "-")</f>
        <v>-</v>
      </c>
      <c r="Q18" s="45"/>
    </row>
    <row r="19" spans="1:17" ht="15" customHeight="1" x14ac:dyDescent="0.25">
      <c r="H19" s="48"/>
      <c r="I19" s="48"/>
      <c r="J19" s="321" t="str">
        <f>'pomocne tabulky'!K18</f>
        <v>Ca</v>
      </c>
      <c r="K19" s="287">
        <f>IF(ISNUMBER('KNO3'!AV18), 'KNO3'!AV18, 0)+IF(ISNUMBER(KH2PO4!AV18), KH2PO4!AV18, 0)+IF(ISNUMBER(K2SO4!AV18), K2SO4!AV18, 0)+IF(ISNUMBER(MgSO4!AV18), MgSO4!AV18, 0)+IF(ISNUMBER(Tenso!AV18), Tenso!AV18, 0)+IF(ISNUMBER(MAKRO!AV18), MAKRO!AV18, 0)+IF(ISNUMBER('#7'!AV18), '#7'!AV18, 0)</f>
        <v>2.1212698412698412E-2</v>
      </c>
      <c r="L19" s="314">
        <f>IF($E$2, IF(SUM($B$10:$B$17)=0,0,('KNO3'!AU18*SUM($B$10:$B$17))/($E$2*1000))+IF(SUM($C$10:$C$17)=0,0,(KH2PO4!AU18*SUM($C$10:$C$17))/($E$2*1000))+IF(SUM($D$10:$D$17)=0,0,(K2SO4!AU18*SUM($D$10:$D$17))/($E$2*1000))+IF(SUM($E$10:$E$17)=0,0,(MgSO4!AU18*SUM($E$10:$E$17))/($E$2*1000))+IF(SUM($F$10:$F$17)=0,0,(Tenso!AU18*SUM($F$10:$F$17))/($E$2*1000))+IF(SUM($G$10:$G$17)=0,0,(MAKRO!AU18*SUM($G$10:$G$17))/($E$2*1000))+IF(SUM($H$10:$H$17)=0,0,('#7'!AU18*SUM($H$10:$H$17))/($E$2*1000)), "-")</f>
        <v>0.3394031746031746</v>
      </c>
      <c r="M19" s="287">
        <f>IF(ISNUMBER('KNO3'!AW18), 'KNO3'!AW18, 0)+IF(ISNUMBER(KH2PO4!AW18), KH2PO4!AW18, 0)+IF(ISNUMBER(K2SO4!AW18), K2SO4!AW18, 0)+IF(ISNUMBER(MgSO4!AW18), MgSO4!AW18, 0)+IF(ISNUMBER(Tenso!AW18), Tenso!AW18, 0)+IF(ISNUMBER(MAKRO!AW18), MAKRO!AW18, 0)+IF(ISNUMBER('#7'!AW18), '#7'!AW18, 0)</f>
        <v>0</v>
      </c>
      <c r="N19" s="314" t="str">
        <f>IF($E$3, IF(SUM($B$24:$B$31)=0,0,('KNO3'!AU18*SUM($B$24:$B$31))/($E$3*1000))+IF(SUM($C$24:$C$31)=0,0,(KH2PO4!AU18*SUM($C$24:$C$31))/($E$3*1000))+IF(SUM($D$24:$D$31)=0,0,(K2SO4!AU18*SUM($D$24:$D$31))/($E$3*1000))+IF(SUM($E$24:$E$31)=0,0,(MgSO4!AU18*SUM($E$24:$E$31))/($E$3*1000))+IF(SUM($F$24:$F$31)=0,0,(Tenso!AU18*SUM($F$24:$F$31))/($E$3*1000))+IF(SUM($G$24:$G$31)=0,0,(MAKRO!AU18*SUM($G$24:$G$31))/($E$3*1000))+IF(SUM($H$24:$H$31)=0,0,('#7'!AU18*SUM($H$24:$H$31))/($E$3*1000)), "-")</f>
        <v>-</v>
      </c>
      <c r="O19" s="287">
        <f>IF(ISNUMBER('KNO3'!AX18), 'KNO3'!AX18, 0)+IF(ISNUMBER(KH2PO4!AX18), KH2PO4!AX18, 0)+IF(ISNUMBER(K2SO4!AX18), K2SO4!AX18, 0)+IF(ISNUMBER(MgSO4!AX18), MgSO4!AX18, 0)+IF(ISNUMBER(Tenso!AX18), Tenso!AX18, 0)+IF(ISNUMBER(MAKRO!AX18), MAKRO!AX18, 0)+IF(ISNUMBER('#7'!AX18), '#7'!AX18, 0)</f>
        <v>0</v>
      </c>
      <c r="P19" s="322" t="str">
        <f>IF($E$4, IF(SUM($B$38:$B$45)=0,0,('KNO3'!AU18*SUM($B$38:$B$45))/($E$4*1000))+IF(SUM($C$38:$C$45)=0,0,(KH2PO4!AU18*SUM($C$38:$C$45))/($E$4*1000))+IF(SUM($D$38:$D$45)=0,0,(K2SO4!AU18*SUM($D$38:$D$45))/($E$4*1000))+IF(SUM($E$38:$E$45)=0,0,(MgSO4!AU18*SUM($E$38:$E$45))/($E$4*1000))+IF(SUM($F$38:$F$45)=0,0,(Tenso!AU18*SUM($F$38:$F$45))/($E$4*1000))+IF(SUM($G$38:$G$45)=0,0,(MAKRO!AU18*SUM($G$38:$G$45))/($E$4*1000))+IF(SUM($H$38:$H$45)=0,0,('#7'!AU18*SUM($H$38:$H$45))/($E$4*1000)), "-")</f>
        <v>-</v>
      </c>
      <c r="Q19" s="45"/>
    </row>
    <row r="20" spans="1:17" ht="15" customHeight="1" thickBot="1" x14ac:dyDescent="0.3">
      <c r="A20" s="399" t="s">
        <v>175</v>
      </c>
      <c r="B20" s="400"/>
      <c r="C20" s="400"/>
      <c r="D20" s="400"/>
      <c r="E20" s="400"/>
      <c r="F20" s="400"/>
      <c r="G20" s="400"/>
      <c r="H20" s="400"/>
      <c r="I20" s="48"/>
      <c r="J20" s="331" t="str">
        <f>'pomocne tabulky'!K19</f>
        <v>C</v>
      </c>
      <c r="K20" s="288">
        <f>IF(ISNUMBER('KNO3'!AV19), 'KNO3'!AV19, 0)+IF(ISNUMBER(KH2PO4!AV19), KH2PO4!AV19, 0)+IF(ISNUMBER(K2SO4!AV19), K2SO4!AV19, 0)+IF(ISNUMBER(MgSO4!AV19), MgSO4!AV19, 0)+IF(ISNUMBER(Tenso!AV19), Tenso!AV19, 0)+IF(ISNUMBER(MAKRO!AV19), MAKRO!AV19, 0)+IF(ISNUMBER('#7'!AV19), '#7'!AV19, 0)</f>
        <v>0</v>
      </c>
      <c r="L20" s="332">
        <f>IF($E$2, IF(SUM($B$10:$B$17)=0,0,('KNO3'!AU19*SUM($B$10:$B$17))/($E$2*1000))+IF(SUM($C$10:$C$17)=0,0,(KH2PO4!AU19*SUM($C$10:$C$17))/($E$2*1000))+IF(SUM($D$10:$D$17)=0,0,(K2SO4!AU19*SUM($D$10:$D$17))/($E$2*1000))+IF(SUM($E$10:$E$17)=0,0,(MgSO4!AU19*SUM($E$10:$E$17))/($E$2*1000))+IF(SUM($F$10:$F$17)=0,0,(Tenso!AU19*SUM($F$10:$F$17))/($E$2*1000))+IF(SUM($G$10:$G$17)=0,0,(MAKRO!AU19*SUM($G$10:$G$17))/($E$2*1000))+IF(SUM($H$10:$H$17)=0,0,('#7'!AU19*SUM($H$10:$H$17))/($E$2*1000)), "-")</f>
        <v>0</v>
      </c>
      <c r="M20" s="288">
        <f>IF(ISNUMBER('KNO3'!AW19), 'KNO3'!AW19, 0)+IF(ISNUMBER(KH2PO4!AW19), KH2PO4!AW19, 0)+IF(ISNUMBER(K2SO4!AW19), K2SO4!AW19, 0)+IF(ISNUMBER(MgSO4!AW19), MgSO4!AW19, 0)+IF(ISNUMBER(Tenso!AW19), Tenso!AW19, 0)+IF(ISNUMBER(MAKRO!AW19), MAKRO!AW19, 0)+IF(ISNUMBER('#7'!AW19), '#7'!AW19, 0)</f>
        <v>0</v>
      </c>
      <c r="N20" s="332" t="str">
        <f>IF($E$3, IF(SUM($B$24:$B$31)=0,0,('KNO3'!AU19*SUM($B$24:$B$31))/($E$3*1000))+IF(SUM($C$24:$C$31)=0,0,(KH2PO4!AU19*SUM($C$24:$C$31))/($E$3*1000))+IF(SUM($D$24:$D$31)=0,0,(K2SO4!AU19*SUM($D$24:$D$31))/($E$3*1000))+IF(SUM($E$24:$E$31)=0,0,(MgSO4!AU19*SUM($E$24:$E$31))/($E$3*1000))+IF(SUM($F$24:$F$31)=0,0,(Tenso!AU19*SUM($F$24:$F$31))/($E$3*1000))+IF(SUM($G$24:$G$31)=0,0,(MAKRO!AU19*SUM($G$24:$G$31))/($E$3*1000))+IF(SUM($H$24:$H$31)=0,0,('#7'!AU19*SUM($H$24:$H$31))/($E$3*1000)), "-")</f>
        <v>-</v>
      </c>
      <c r="O20" s="288">
        <f>IF(ISNUMBER('KNO3'!AX19), 'KNO3'!AX19, 0)+IF(ISNUMBER(KH2PO4!AX19), KH2PO4!AX19, 0)+IF(ISNUMBER(K2SO4!AX19), K2SO4!AX19, 0)+IF(ISNUMBER(MgSO4!AX19), MgSO4!AX19, 0)+IF(ISNUMBER(Tenso!AX19), Tenso!AX19, 0)+IF(ISNUMBER(MAKRO!AX19), MAKRO!AX19, 0)+IF(ISNUMBER('#7'!AX19), '#7'!AX19, 0)</f>
        <v>0</v>
      </c>
      <c r="P20" s="289" t="str">
        <f>IF($E$4, IF(SUM($B$38:$B$45)=0,0,('KNO3'!AU19*SUM($B$38:$B$45))/($E$4*1000))+IF(SUM($C$38:$C$45)=0,0,(KH2PO4!AU19*SUM($C$38:$C$45))/($E$4*1000))+IF(SUM($D$38:$D$45)=0,0,(K2SO4!AU19*SUM($D$38:$D$45))/($E$4*1000))+IF(SUM($E$38:$E$45)=0,0,(MgSO4!AU19*SUM($E$38:$E$45))/($E$4*1000))+IF(SUM($F$38:$F$45)=0,0,(Tenso!AU19*SUM($F$38:$F$45))/($E$4*1000))+IF(SUM($G$38:$G$45)=0,0,(MAKRO!AU19*SUM($G$38:$G$45))/($E$4*1000))+IF(SUM($H$38:$H$45)=0,0,('#7'!AU19*SUM($H$38:$H$45))/($E$4*1000)), "-")</f>
        <v>-</v>
      </c>
      <c r="Q20" s="45"/>
    </row>
    <row r="21" spans="1:17" ht="15" customHeight="1" thickTop="1" x14ac:dyDescent="0.25">
      <c r="A21" s="420" t="s">
        <v>119</v>
      </c>
      <c r="B21" s="402" t="s">
        <v>127</v>
      </c>
      <c r="C21" s="403"/>
      <c r="D21" s="403"/>
      <c r="E21" s="403"/>
      <c r="F21" s="403"/>
      <c r="G21" s="403"/>
      <c r="H21" s="403"/>
      <c r="I21" s="48"/>
      <c r="J21" s="328" t="str">
        <f>'pomocne tabulky'!K29</f>
        <v>SO4</v>
      </c>
      <c r="K21" s="290">
        <f>IF(ISNUMBER('KNO3'!AV29), 'KNO3'!AV29, 0)+IF(ISNUMBER(KH2PO4!AV29), KH2PO4!AV29, 0)+IF(ISNUMBER(K2SO4!AV29), K2SO4!AV29, 0)+IF(ISNUMBER(MgSO4!AV29), MgSO4!AV29, 0)+IF(ISNUMBER(Tenso!AV29), Tenso!AV29, 0)+IF(ISNUMBER(MAKRO!AV29), MAKRO!AV29, 0)+IF(ISNUMBER('#7'!AV29), '#7'!AV29, 0)</f>
        <v>12.477188497061215</v>
      </c>
      <c r="L21" s="329">
        <f>IF($E$2, IF(SUM($B$10:$B$17)=0,0,('KNO3'!AU29*SUM($B$10:$B$17))/($E$2*1000))+IF(SUM($C$10:$C$17)=0,0,(KH2PO4!AU29*SUM($C$10:$C$17))/($E$2*1000))+IF(SUM($D$10:$D$17)=0,0,(K2SO4!AU29*SUM($D$10:$D$17))/($E$2*1000))+IF(SUM($E$10:$E$17)=0,0,(MgSO4!AU29*SUM($E$10:$E$17))/($E$2*1000))+IF(SUM($F$10:$F$17)=0,0,(Tenso!AU29*SUM($F$10:$F$17))/($E$2*1000))+IF(SUM($G$10:$G$17)=0,0,(MAKRO!AU29*SUM($G$10:$G$17))/($E$2*1000))+IF(SUM($H$10:$H$17)=0,0,('#7'!AU29*SUM($H$10:$H$17))/($E$2*1000)), "-")</f>
        <v>31.753457142718872</v>
      </c>
      <c r="M21" s="290">
        <f>IF(ISNUMBER('KNO3'!AW29), 'KNO3'!AW29, 0)+IF(ISNUMBER(KH2PO4!AW29), KH2PO4!AW29, 0)+IF(ISNUMBER(K2SO4!AW29), K2SO4!AW29, 0)+IF(ISNUMBER(MgSO4!AW29), MgSO4!AW29, 0)+IF(ISNUMBER(Tenso!AW29), Tenso!AW29, 0)+IF(ISNUMBER(MAKRO!AW29), MAKRO!AW29, 0)+IF(ISNUMBER('#7'!AW29), '#7'!AW29, 0)</f>
        <v>0</v>
      </c>
      <c r="N21" s="329" t="str">
        <f>IF($E$3, IF(SUM($B$24:$B$31)=0,0,('KNO3'!AU29*SUM($B$24:$B$31))/($E$3*1000))+IF(SUM($C$24:$C$31)=0,0,(KH2PO4!AU29*SUM($C$24:$C$31))/($E$3*1000))+IF(SUM($D$24:$D$31)=0,0,(K2SO4!AU29*SUM($D$24:$D$31))/($E$3*1000))+IF(SUM($E$24:$E$31)=0,0,(MgSO4!AU29*SUM($E$24:$E$31))/($E$3*1000))+IF(SUM($F$24:$F$31)=0,0,(Tenso!AU29*SUM($F$24:$F$31))/($E$3*1000))+IF(SUM($G$24:$G$31)=0,0,(MAKRO!AU29*SUM($G$24:$G$31))/($E$3*1000))+IF(SUM($H$24:$H$31)=0,0,('#7'!AU29*SUM($H$24:$H$31))/($E$3*1000)), "-")</f>
        <v>-</v>
      </c>
      <c r="O21" s="290">
        <f>IF(ISNUMBER('KNO3'!AX29), 'KNO3'!AX29, 0)+IF(ISNUMBER(KH2PO4!AX29), KH2PO4!AX29, 0)+IF(ISNUMBER(K2SO4!AX29), K2SO4!AX29, 0)+IF(ISNUMBER(MgSO4!AX29), MgSO4!AX29, 0)+IF(ISNUMBER(Tenso!AX29), Tenso!AX29, 0)+IF(ISNUMBER(MAKRO!AX29), MAKRO!AX29, 0)+IF(ISNUMBER('#7'!AX29), '#7'!AX29, 0)</f>
        <v>0</v>
      </c>
      <c r="P21" s="330" t="str">
        <f>IF($E$4, IF(SUM($B$38:$B$45)=0,0,('KNO3'!AU29*SUM($B$38:$B$45))/($E$4*1000))+IF(SUM($C$38:$C$45)=0,0,(KH2PO4!AU29*SUM($C$38:$C$45))/($E$4*1000))+IF(SUM($D$38:$D$45)=0,0,(K2SO4!AU29*SUM($D$38:$D$45))/($E$4*1000))+IF(SUM($E$38:$E$45)=0,0,(MgSO4!AU29*SUM($E$38:$E$45))/($E$4*1000))+IF(SUM($F$38:$F$45)=0,0,(Tenso!AU29*SUM($F$38:$F$45))/($E$4*1000))+IF(SUM($G$38:$G$45)=0,0,(MAKRO!AU29*SUM($G$38:$G$45))/($E$4*1000))+IF(SUM($H$38:$H$45)=0,0,('#7'!AU29*SUM($H$38:$H$45))/($E$4*1000)), "-")</f>
        <v>-</v>
      </c>
      <c r="Q21" s="45"/>
    </row>
    <row r="22" spans="1:17" ht="15.75" thickBot="1" x14ac:dyDescent="0.3">
      <c r="A22" s="405"/>
      <c r="B22" s="100" t="s">
        <v>128</v>
      </c>
      <c r="C22" s="98" t="s">
        <v>129</v>
      </c>
      <c r="D22" s="90" t="s">
        <v>130</v>
      </c>
      <c r="E22" s="90" t="s">
        <v>131</v>
      </c>
      <c r="F22" s="90" t="s">
        <v>132</v>
      </c>
      <c r="G22" s="90" t="s">
        <v>169</v>
      </c>
      <c r="H22" s="92" t="s">
        <v>347</v>
      </c>
      <c r="I22" s="48"/>
      <c r="J22" s="321" t="str">
        <f>'pomocne tabulky'!K30</f>
        <v>PO4</v>
      </c>
      <c r="K22" s="287">
        <f>IF(ISNUMBER('KNO3'!AV30), 'KNO3'!AV30, 0)+IF(ISNUMBER(KH2PO4!AV30), KH2PO4!AV30, 0)+IF(ISNUMBER(K2SO4!AV30), K2SO4!AV30, 0)+IF(ISNUMBER(MgSO4!AV30), MgSO4!AV30, 0)+IF(ISNUMBER(Tenso!AV30), Tenso!AV30, 0)+IF(ISNUMBER(MAKRO!AV30), MAKRO!AV30, 0)+IF(ISNUMBER('#7'!AV30), '#7'!AV30, 0)</f>
        <v>0.7623613689427996</v>
      </c>
      <c r="L22" s="314">
        <f>IF($E$2, IF(SUM($B$10:$B$17)=0,0,('KNO3'!AU30*SUM($B$10:$B$17))/($E$2*1000))+IF(SUM($C$10:$C$17)=0,0,(KH2PO4!AU30*SUM($C$10:$C$17))/($E$2*1000))+IF(SUM($D$10:$D$17)=0,0,(K2SO4!AU30*SUM($D$10:$D$17))/($E$2*1000))+IF(SUM($E$10:$E$17)=0,0,(MgSO4!AU30*SUM($E$10:$E$17))/($E$2*1000))+IF(SUM($F$10:$F$17)=0,0,(Tenso!AU30*SUM($F$10:$F$17))/($E$2*1000))+IF(SUM($G$10:$G$17)=0,0,(MAKRO!AU30*SUM($G$10:$G$17))/($E$2*1000))+IF(SUM($H$10:$H$17)=0,0,('#7'!AU30*SUM($H$10:$H$17))/($E$2*1000)), "-")</f>
        <v>2.3484211754571707</v>
      </c>
      <c r="M22" s="287">
        <f>IF(ISNUMBER('KNO3'!AW30), 'KNO3'!AW30, 0)+IF(ISNUMBER(KH2PO4!AW30), KH2PO4!AW30, 0)+IF(ISNUMBER(K2SO4!AW30), K2SO4!AW30, 0)+IF(ISNUMBER(MgSO4!AW30), MgSO4!AW30, 0)+IF(ISNUMBER(Tenso!AW30), Tenso!AW30, 0)+IF(ISNUMBER(MAKRO!AW30), MAKRO!AW30, 0)+IF(ISNUMBER('#7'!AW30), '#7'!AW30, 0)</f>
        <v>0</v>
      </c>
      <c r="N22" s="314" t="str">
        <f>IF($E$3, IF(SUM($B$24:$B$31)=0,0,('KNO3'!AU30*SUM($B$24:$B$31))/($E$3*1000))+IF(SUM($C$24:$C$31)=0,0,(KH2PO4!AU30*SUM($C$24:$C$31))/($E$3*1000))+IF(SUM($D$24:$D$31)=0,0,(K2SO4!AU30*SUM($D$24:$D$31))/($E$3*1000))+IF(SUM($E$24:$E$31)=0,0,(MgSO4!AU30*SUM($E$24:$E$31))/($E$3*1000))+IF(SUM($F$24:$F$31)=0,0,(Tenso!AU30*SUM($F$24:$F$31))/($E$3*1000))+IF(SUM($G$24:$G$31)=0,0,(MAKRO!AU30*SUM($G$24:$G$31))/($E$3*1000))+IF(SUM($H$24:$H$31)=0,0,('#7'!AU30*SUM($H$24:$H$31))/($E$3*1000)), "-")</f>
        <v>-</v>
      </c>
      <c r="O22" s="287">
        <f>IF(ISNUMBER('KNO3'!AX30), 'KNO3'!AX30, 0)+IF(ISNUMBER(KH2PO4!AX30), KH2PO4!AX30, 0)+IF(ISNUMBER(K2SO4!AX30), K2SO4!AX30, 0)+IF(ISNUMBER(MgSO4!AX30), MgSO4!AX30, 0)+IF(ISNUMBER(Tenso!AX30), Tenso!AX30, 0)+IF(ISNUMBER(MAKRO!AX30), MAKRO!AX30, 0)+IF(ISNUMBER('#7'!AX30), '#7'!AX30, 0)</f>
        <v>0</v>
      </c>
      <c r="P22" s="322" t="str">
        <f>IF($E$4, IF(SUM($B$38:$B$45)=0,0,('KNO3'!AU30*SUM($B$38:$B$45))/($E$4*1000))+IF(SUM($C$38:$C$45)=0,0,(KH2PO4!AU30*SUM($C$38:$C$45))/($E$4*1000))+IF(SUM($D$38:$D$45)=0,0,(K2SO4!AU30*SUM($D$38:$D$45))/($E$4*1000))+IF(SUM($E$38:$E$45)=0,0,(MgSO4!AU30*SUM($E$38:$E$45))/($E$4*1000))+IF(SUM($F$38:$F$45)=0,0,(Tenso!AU30*SUM($F$38:$F$45))/($E$4*1000))+IF(SUM($G$38:$G$45)=0,0,(MAKRO!AU30*SUM($G$38:$G$45))/($E$4*1000))+IF(SUM($H$38:$H$45)=0,0,('#7'!AU30*SUM($H$38:$H$45))/($E$4*1000)), "-")</f>
        <v>-</v>
      </c>
      <c r="Q22" s="45"/>
    </row>
    <row r="23" spans="1:17" ht="15.75" customHeight="1" thickBot="1" x14ac:dyDescent="0.3">
      <c r="A23" s="406"/>
      <c r="B23" s="96"/>
      <c r="C23" s="99"/>
      <c r="D23" s="96"/>
      <c r="E23" s="96"/>
      <c r="F23" s="96"/>
      <c r="G23" s="96"/>
      <c r="H23" s="97"/>
      <c r="I23" s="48"/>
      <c r="J23" s="321" t="str">
        <f>'pomocne tabulky'!K31</f>
        <v>NO3</v>
      </c>
      <c r="K23" s="287">
        <f>IF(ISNUMBER('KNO3'!AV31), 'KNO3'!AV31, 0)+IF(ISNUMBER(KH2PO4!AV31), KH2PO4!AV31, 0)+IF(ISNUMBER(K2SO4!AV31), K2SO4!AV31, 0)+IF(ISNUMBER(MgSO4!AV31), MgSO4!AV31, 0)+IF(ISNUMBER(Tenso!AV31), Tenso!AV31, 0)+IF(ISNUMBER(MAKRO!AV31), MAKRO!AV31, 0)+IF(ISNUMBER('#7'!AV31), '#7'!AV31, 0)</f>
        <v>7.5821924899828606</v>
      </c>
      <c r="L23" s="314">
        <f>IF($E$2, IF(SUM($B$10:$B$17)=0,0,('KNO3'!AU31*SUM($B$10:$B$17))/($E$2*1000))+IF(SUM($C$10:$C$17)=0,0,(KH2PO4!AU31*SUM($C$10:$C$17))/($E$2*1000))+IF(SUM($D$10:$D$17)=0,0,(K2SO4!AU31*SUM($D$10:$D$17))/($E$2*1000))+IF(SUM($E$10:$E$17)=0,0,(MgSO4!AU31*SUM($E$10:$E$17))/($E$2*1000))+IF(SUM($F$10:$F$17)=0,0,(Tenso!AU31*SUM($F$10:$F$17))/($E$2*1000))+IF(SUM($G$10:$G$17)=0,0,(MAKRO!AU31*SUM($G$10:$G$17))/($E$2*1000))+IF(SUM($H$10:$H$17)=0,0,('#7'!AU31*SUM($H$10:$H$17))/($E$2*1000)), "-")</f>
        <v>4.5947571156901823</v>
      </c>
      <c r="M23" s="287">
        <f>IF(ISNUMBER('KNO3'!AW31), 'KNO3'!AW31, 0)+IF(ISNUMBER(KH2PO4!AW31), KH2PO4!AW31, 0)+IF(ISNUMBER(K2SO4!AW31), K2SO4!AW31, 0)+IF(ISNUMBER(MgSO4!AW31), MgSO4!AW31, 0)+IF(ISNUMBER(Tenso!AW31), Tenso!AW31, 0)+IF(ISNUMBER(MAKRO!AW31), MAKRO!AW31, 0)+IF(ISNUMBER('#7'!AW31), '#7'!AW31, 0)</f>
        <v>0</v>
      </c>
      <c r="N23" s="314" t="str">
        <f>IF($E$3, IF(SUM($B$24:$B$31)=0,0,('KNO3'!AU31*SUM($B$24:$B$31))/($E$3*1000))+IF(SUM($C$24:$C$31)=0,0,(KH2PO4!AU31*SUM($C$24:$C$31))/($E$3*1000))+IF(SUM($D$24:$D$31)=0,0,(K2SO4!AU31*SUM($D$24:$D$31))/($E$3*1000))+IF(SUM($E$24:$E$31)=0,0,(MgSO4!AU31*SUM($E$24:$E$31))/($E$3*1000))+IF(SUM($F$24:$F$31)=0,0,(Tenso!AU31*SUM($F$24:$F$31))/($E$3*1000))+IF(SUM($G$24:$G$31)=0,0,(MAKRO!AU31*SUM($G$24:$G$31))/($E$3*1000))+IF(SUM($H$24:$H$31)=0,0,('#7'!AU31*SUM($H$24:$H$31))/($E$3*1000)), "-")</f>
        <v>-</v>
      </c>
      <c r="O23" s="287">
        <f>IF(ISNUMBER('KNO3'!AX31), 'KNO3'!AX31, 0)+IF(ISNUMBER(KH2PO4!AX31), KH2PO4!AX31, 0)+IF(ISNUMBER(K2SO4!AX31), K2SO4!AX31, 0)+IF(ISNUMBER(MgSO4!AX31), MgSO4!AX31, 0)+IF(ISNUMBER(Tenso!AX31), Tenso!AX31, 0)+IF(ISNUMBER(MAKRO!AX31), MAKRO!AX31, 0)+IF(ISNUMBER('#7'!AX31), '#7'!AX31, 0)</f>
        <v>0</v>
      </c>
      <c r="P23" s="322" t="str">
        <f>IF($E$4, IF(SUM($B$38:$B$45)=0,0,('KNO3'!AU31*SUM($B$38:$B$45))/($E$4*1000))+IF(SUM($C$38:$C$45)=0,0,(KH2PO4!AU31*SUM($C$38:$C$45))/($E$4*1000))+IF(SUM($D$38:$D$45)=0,0,(K2SO4!AU31*SUM($D$38:$D$45))/($E$4*1000))+IF(SUM($E$38:$E$45)=0,0,(MgSO4!AU31*SUM($E$38:$E$45))/($E$4*1000))+IF(SUM($F$38:$F$45)=0,0,(Tenso!AU31*SUM($F$38:$F$45))/($E$4*1000))+IF(SUM($G$38:$G$45)=0,0,(MAKRO!AU31*SUM($G$38:$G$45))/($E$4*1000))+IF(SUM($H$38:$H$45)=0,0,('#7'!AU31*SUM($H$38:$H$45))/($E$4*1000)), "-")</f>
        <v>-</v>
      </c>
      <c r="Q23" s="45"/>
    </row>
    <row r="24" spans="1:17" ht="15" customHeight="1" x14ac:dyDescent="0.25">
      <c r="A24" s="95" t="s">
        <v>120</v>
      </c>
      <c r="B24" s="368"/>
      <c r="C24" s="368"/>
      <c r="D24" s="368"/>
      <c r="E24" s="368"/>
      <c r="F24" s="368"/>
      <c r="G24" s="280"/>
      <c r="H24" s="281"/>
      <c r="I24" s="44"/>
      <c r="J24" s="321" t="str">
        <f>'pomocne tabulky'!K32</f>
        <v>NH4</v>
      </c>
      <c r="K24" s="287">
        <f>IF(ISNUMBER('KNO3'!AV32), 'KNO3'!AV32, 0)+IF(ISNUMBER(KH2PO4!AV32), KH2PO4!AV32, 0)+IF(ISNUMBER(K2SO4!AV32), K2SO4!AV32, 0)+IF(ISNUMBER(MgSO4!AV32), MgSO4!AV32, 0)+IF(ISNUMBER(Tenso!AV32), Tenso!AV32, 0)+IF(ISNUMBER(MAKRO!AV32), MAKRO!AV32, 0)+IF(ISNUMBER('#7'!AV32), '#7'!AV32, 0)</f>
        <v>0</v>
      </c>
      <c r="L24" s="314">
        <f>IF($E$2, IF(SUM($B$10:$B$17)=0,0,('KNO3'!AU32*SUM($B$10:$B$17))/($E$2*1000))+IF(SUM($C$10:$C$17)=0,0,(KH2PO4!AU32*SUM($C$10:$C$17))/($E$2*1000))+IF(SUM($D$10:$D$17)=0,0,(K2SO4!AU32*SUM($D$10:$D$17))/($E$2*1000))+IF(SUM($E$10:$E$17)=0,0,(MgSO4!AU32*SUM($E$10:$E$17))/($E$2*1000))+IF(SUM($F$10:$F$17)=0,0,(Tenso!AU32*SUM($F$10:$F$17))/($E$2*1000))+IF(SUM($G$10:$G$17)=0,0,(MAKRO!AU32*SUM($G$10:$G$17))/($E$2*1000))+IF(SUM($H$10:$H$17)=0,0,('#7'!AU32*SUM($H$10:$H$17))/($E$2*1000)), "-")</f>
        <v>0</v>
      </c>
      <c r="M24" s="287">
        <f>IF(ISNUMBER('KNO3'!AW32), 'KNO3'!AW32, 0)+IF(ISNUMBER(KH2PO4!AW32), KH2PO4!AW32, 0)+IF(ISNUMBER(K2SO4!AW32), K2SO4!AW32, 0)+IF(ISNUMBER(MgSO4!AW32), MgSO4!AW32, 0)+IF(ISNUMBER(Tenso!AW32), Tenso!AW32, 0)+IF(ISNUMBER(MAKRO!AW32), MAKRO!AW32, 0)+IF(ISNUMBER('#7'!AW32), '#7'!AW32, 0)</f>
        <v>0</v>
      </c>
      <c r="N24" s="314" t="str">
        <f>IF($E$3, IF(SUM($B$24:$B$31)=0,0,('KNO3'!AU32*SUM($B$24:$B$31))/($E$3*1000))+IF(SUM($C$24:$C$31)=0,0,(KH2PO4!AU32*SUM($C$24:$C$31))/($E$3*1000))+IF(SUM($D$24:$D$31)=0,0,(K2SO4!AU32*SUM($D$24:$D$31))/($E$3*1000))+IF(SUM($E$24:$E$31)=0,0,(MgSO4!AU32*SUM($E$24:$E$31))/($E$3*1000))+IF(SUM($F$24:$F$31)=0,0,(Tenso!AU32*SUM($F$24:$F$31))/($E$3*1000))+IF(SUM($G$24:$G$31)=0,0,(MAKRO!AU32*SUM($G$24:$G$31))/($E$3*1000))+IF(SUM($H$24:$H$31)=0,0,('#7'!AU32*SUM($H$24:$H$31))/($E$3*1000)), "-")</f>
        <v>-</v>
      </c>
      <c r="O24" s="287">
        <f>IF(ISNUMBER('KNO3'!AX32), 'KNO3'!AX32, 0)+IF(ISNUMBER(KH2PO4!AX32), KH2PO4!AX32, 0)+IF(ISNUMBER(K2SO4!AX32), K2SO4!AX32, 0)+IF(ISNUMBER(MgSO4!AX32), MgSO4!AX32, 0)+IF(ISNUMBER(Tenso!AX32), Tenso!AX32, 0)+IF(ISNUMBER(MAKRO!AX32), MAKRO!AX32, 0)+IF(ISNUMBER('#7'!AX32), '#7'!AX32, 0)</f>
        <v>0</v>
      </c>
      <c r="P24" s="322" t="str">
        <f>IF($E$4, IF(SUM($B$38:$B$45)=0,0,('KNO3'!AU32*SUM($B$38:$B$45))/($E$4*1000))+IF(SUM($C$38:$C$45)=0,0,(KH2PO4!AU32*SUM($C$38:$C$45))/($E$4*1000))+IF(SUM($D$38:$D$45)=0,0,(K2SO4!AU32*SUM($D$38:$D$45))/($E$4*1000))+IF(SUM($E$38:$E$45)=0,0,(MgSO4!AU32*SUM($E$38:$E$45))/($E$4*1000))+IF(SUM($F$38:$F$45)=0,0,(Tenso!AU32*SUM($F$38:$F$45))/($E$4*1000))+IF(SUM($G$38:$G$45)=0,0,(MAKRO!AU32*SUM($G$38:$G$45))/($E$4*1000))+IF(SUM($H$38:$H$45)=0,0,('#7'!AU32*SUM($H$38:$H$45))/($E$4*1000)), "-")</f>
        <v>-</v>
      </c>
      <c r="Q24" s="45"/>
    </row>
    <row r="25" spans="1:17" ht="15.75" customHeight="1" x14ac:dyDescent="0.25">
      <c r="A25" s="93" t="s">
        <v>121</v>
      </c>
      <c r="B25" s="369"/>
      <c r="C25" s="369"/>
      <c r="D25" s="369"/>
      <c r="E25" s="369"/>
      <c r="F25" s="369"/>
      <c r="G25" s="282"/>
      <c r="H25" s="283"/>
      <c r="I25" s="44"/>
      <c r="J25" s="321" t="str">
        <f>'pomocne tabulky'!K33</f>
        <v>NH2</v>
      </c>
      <c r="K25" s="287">
        <f>IF(ISNUMBER('KNO3'!AV33), 'KNO3'!AV33, 0)+IF(ISNUMBER(KH2PO4!AV33), KH2PO4!AV33, 0)+IF(ISNUMBER(K2SO4!AV33), K2SO4!AV33, 0)+IF(ISNUMBER(MgSO4!AV33), MgSO4!AV33, 0)+IF(ISNUMBER(Tenso!AV33), Tenso!AV33, 0)+IF(ISNUMBER(MAKRO!AV33), MAKRO!AV33, 0)+IF(ISNUMBER('#7'!AV33), '#7'!AV33, 0)</f>
        <v>0</v>
      </c>
      <c r="L25" s="314">
        <f>IF($E$2, IF(SUM($B$10:$B$17)=0,0,('KNO3'!AU33*SUM($B$10:$B$17))/($E$2*1000))+IF(SUM($C$10:$C$17)=0,0,(KH2PO4!AU33*SUM($C$10:$C$17))/($E$2*1000))+IF(SUM($D$10:$D$17)=0,0,(K2SO4!AU33*SUM($D$10:$D$17))/($E$2*1000))+IF(SUM($E$10:$E$17)=0,0,(MgSO4!AU33*SUM($E$10:$E$17))/($E$2*1000))+IF(SUM($F$10:$F$17)=0,0,(Tenso!AU33*SUM($F$10:$F$17))/($E$2*1000))+IF(SUM($G$10:$G$17)=0,0,(MAKRO!AU33*SUM($G$10:$G$17))/($E$2*1000))+IF(SUM($H$10:$H$17)=0,0,('#7'!AU33*SUM($H$10:$H$17))/($E$2*1000)), "-")</f>
        <v>0</v>
      </c>
      <c r="M25" s="287">
        <f>IF(ISNUMBER('KNO3'!AW33), 'KNO3'!AW33, 0)+IF(ISNUMBER(KH2PO4!AW33), KH2PO4!AW33, 0)+IF(ISNUMBER(K2SO4!AW33), K2SO4!AW33, 0)+IF(ISNUMBER(MgSO4!AW33), MgSO4!AW33, 0)+IF(ISNUMBER(Tenso!AW33), Tenso!AW33, 0)+IF(ISNUMBER(MAKRO!AW33), MAKRO!AW33, 0)+IF(ISNUMBER('#7'!AW33), '#7'!AW33, 0)</f>
        <v>0</v>
      </c>
      <c r="N25" s="314" t="str">
        <f>IF($E$3, IF(SUM($B$24:$B$31)=0,0,('KNO3'!AU33*SUM($B$24:$B$31))/($E$3*1000))+IF(SUM($C$24:$C$31)=0,0,(KH2PO4!AU33*SUM($C$24:$C$31))/($E$3*1000))+IF(SUM($D$24:$D$31)=0,0,(K2SO4!AU33*SUM($D$24:$D$31))/($E$3*1000))+IF(SUM($E$24:$E$31)=0,0,(MgSO4!AU33*SUM($E$24:$E$31))/($E$3*1000))+IF(SUM($F$24:$F$31)=0,0,(Tenso!AU33*SUM($F$24:$F$31))/($E$3*1000))+IF(SUM($G$24:$G$31)=0,0,(MAKRO!AU33*SUM($G$24:$G$31))/($E$3*1000))+IF(SUM($H$24:$H$31)=0,0,('#7'!AU33*SUM($H$24:$H$31))/($E$3*1000)), "-")</f>
        <v>-</v>
      </c>
      <c r="O25" s="287">
        <f>IF(ISNUMBER('KNO3'!AX33), 'KNO3'!AX33, 0)+IF(ISNUMBER(KH2PO4!AX33), KH2PO4!AX33, 0)+IF(ISNUMBER(K2SO4!AX33), K2SO4!AX33, 0)+IF(ISNUMBER(MgSO4!AX33), MgSO4!AX33, 0)+IF(ISNUMBER(Tenso!AX33), Tenso!AX33, 0)+IF(ISNUMBER(MAKRO!AX33), MAKRO!AX33, 0)+IF(ISNUMBER('#7'!AX33), '#7'!AX33, 0)</f>
        <v>0</v>
      </c>
      <c r="P25" s="322" t="str">
        <f>IF($E$4, IF(SUM($B$38:$B$45)=0,0,('KNO3'!AU33*SUM($B$38:$B$45))/($E$4*1000))+IF(SUM($C$38:$C$45)=0,0,(KH2PO4!AU33*SUM($C$38:$C$45))/($E$4*1000))+IF(SUM($D$38:$D$45)=0,0,(K2SO4!AU33*SUM($D$38:$D$45))/($E$4*1000))+IF(SUM($E$38:$E$45)=0,0,(MgSO4!AU33*SUM($E$38:$E$45))/($E$4*1000))+IF(SUM($F$38:$F$45)=0,0,(Tenso!AU33*SUM($F$38:$F$45))/($E$4*1000))+IF(SUM($G$38:$G$45)=0,0,(MAKRO!AU33*SUM($G$38:$G$45))/($E$4*1000))+IF(SUM($H$38:$H$45)=0,0,('#7'!AU33*SUM($H$38:$H$45))/($E$4*1000)), "-")</f>
        <v>-</v>
      </c>
      <c r="Q25" s="45"/>
    </row>
    <row r="26" spans="1:17" ht="15" customHeight="1" x14ac:dyDescent="0.25">
      <c r="A26" s="93" t="s">
        <v>122</v>
      </c>
      <c r="B26" s="368"/>
      <c r="C26" s="368"/>
      <c r="D26" s="368"/>
      <c r="E26" s="368"/>
      <c r="F26" s="368"/>
      <c r="G26" s="280"/>
      <c r="H26" s="281"/>
      <c r="I26" s="48"/>
      <c r="J26" s="321" t="str">
        <f>'pomocne tabulky'!K34</f>
        <v>H2O</v>
      </c>
      <c r="K26" s="315" t="s">
        <v>56</v>
      </c>
      <c r="L26" s="316" t="s">
        <v>56</v>
      </c>
      <c r="M26" s="315" t="s">
        <v>56</v>
      </c>
      <c r="N26" s="316" t="s">
        <v>56</v>
      </c>
      <c r="O26" s="315" t="s">
        <v>56</v>
      </c>
      <c r="P26" s="323" t="s">
        <v>56</v>
      </c>
      <c r="Q26" s="45"/>
    </row>
    <row r="27" spans="1:17" ht="15.75" thickBot="1" x14ac:dyDescent="0.3">
      <c r="A27" s="93" t="s">
        <v>123</v>
      </c>
      <c r="B27" s="369"/>
      <c r="C27" s="369"/>
      <c r="D27" s="369"/>
      <c r="E27" s="369"/>
      <c r="F27" s="369"/>
      <c r="G27" s="282"/>
      <c r="H27" s="283"/>
      <c r="I27" s="48"/>
      <c r="J27" s="324" t="str">
        <f>'pomocne tabulky'!K35</f>
        <v>cheláty</v>
      </c>
      <c r="K27" s="325" t="s">
        <v>56</v>
      </c>
      <c r="L27" s="326" t="s">
        <v>56</v>
      </c>
      <c r="M27" s="325" t="s">
        <v>56</v>
      </c>
      <c r="N27" s="326" t="s">
        <v>56</v>
      </c>
      <c r="O27" s="325" t="s">
        <v>56</v>
      </c>
      <c r="P27" s="327" t="s">
        <v>56</v>
      </c>
      <c r="Q27" s="45"/>
    </row>
    <row r="28" spans="1:17" x14ac:dyDescent="0.25">
      <c r="A28" s="93" t="s">
        <v>124</v>
      </c>
      <c r="B28" s="368"/>
      <c r="C28" s="368"/>
      <c r="D28" s="368"/>
      <c r="E28" s="368"/>
      <c r="F28" s="368"/>
      <c r="G28" s="280"/>
      <c r="H28" s="281"/>
      <c r="I28" s="45"/>
      <c r="J28" s="53"/>
      <c r="K28" s="53"/>
      <c r="L28" s="53"/>
      <c r="M28" s="53"/>
      <c r="N28" s="53"/>
      <c r="O28" s="53"/>
      <c r="P28" s="53"/>
    </row>
    <row r="29" spans="1:17" ht="15" customHeight="1" x14ac:dyDescent="0.25">
      <c r="A29" s="93" t="s">
        <v>125</v>
      </c>
      <c r="B29" s="369"/>
      <c r="C29" s="369"/>
      <c r="D29" s="369"/>
      <c r="E29" s="369"/>
      <c r="F29" s="369"/>
      <c r="G29" s="282"/>
      <c r="H29" s="283"/>
      <c r="I29" s="45"/>
      <c r="J29" s="53"/>
      <c r="K29" s="53"/>
      <c r="L29" s="53"/>
      <c r="M29" s="53"/>
      <c r="N29" s="53"/>
      <c r="O29" s="53"/>
      <c r="P29" s="53"/>
    </row>
    <row r="30" spans="1:17" ht="15" customHeight="1" x14ac:dyDescent="0.25">
      <c r="A30" s="306" t="s">
        <v>126</v>
      </c>
      <c r="B30" s="368"/>
      <c r="C30" s="368"/>
      <c r="D30" s="368"/>
      <c r="E30" s="368"/>
      <c r="F30" s="370"/>
      <c r="G30" s="307"/>
      <c r="H30" s="308"/>
      <c r="I30" s="45"/>
      <c r="J30" s="53"/>
      <c r="K30" s="53"/>
      <c r="L30" s="53"/>
      <c r="M30" s="53"/>
      <c r="N30" s="53"/>
      <c r="O30" s="53"/>
      <c r="P30" s="53"/>
    </row>
    <row r="31" spans="1:17" ht="15.75" thickBot="1" x14ac:dyDescent="0.3">
      <c r="A31" s="94" t="s">
        <v>334</v>
      </c>
      <c r="B31" s="284"/>
      <c r="C31" s="284"/>
      <c r="D31" s="280"/>
      <c r="E31" s="284"/>
      <c r="F31" s="284"/>
      <c r="G31" s="284"/>
      <c r="H31" s="285"/>
      <c r="I31" s="45"/>
    </row>
    <row r="32" spans="1:17" x14ac:dyDescent="0.25">
      <c r="A32" s="394"/>
      <c r="B32" s="395"/>
      <c r="C32" s="395"/>
      <c r="D32" s="395"/>
      <c r="E32" s="395"/>
      <c r="F32" s="395"/>
      <c r="G32" s="396"/>
      <c r="H32" s="312"/>
      <c r="I32" s="45"/>
      <c r="K32" s="397" t="s">
        <v>170</v>
      </c>
      <c r="L32" s="398"/>
      <c r="M32" s="397" t="s">
        <v>171</v>
      </c>
      <c r="N32" s="398"/>
      <c r="O32" s="397" t="s">
        <v>172</v>
      </c>
      <c r="P32" s="398"/>
    </row>
    <row r="33" spans="1:16" x14ac:dyDescent="0.25">
      <c r="H33" s="45"/>
      <c r="I33" s="45"/>
      <c r="J33" s="305" t="s">
        <v>173</v>
      </c>
      <c r="K33" s="392">
        <f>IF(OR($L$12=0, $L$21="-"), "-", $L$16/$L$12)</f>
        <v>1.3551741692979415</v>
      </c>
      <c r="L33" s="393"/>
      <c r="M33" s="392" t="str">
        <f>IF(OR($N$12=0, $N$21="-"), "-", $N$16/$N$12)</f>
        <v>-</v>
      </c>
      <c r="N33" s="393"/>
      <c r="O33" s="392" t="str">
        <f>IF(OR(P12=0, P21="-"), "-", P16/P12)</f>
        <v>-</v>
      </c>
      <c r="P33" s="393"/>
    </row>
    <row r="34" spans="1:16" ht="15.75" customHeight="1" thickBot="1" x14ac:dyDescent="0.3">
      <c r="A34" s="399" t="s">
        <v>176</v>
      </c>
      <c r="B34" s="400"/>
      <c r="C34" s="400"/>
      <c r="D34" s="400"/>
      <c r="E34" s="400"/>
      <c r="F34" s="400"/>
      <c r="G34" s="400"/>
      <c r="H34" s="401"/>
      <c r="I34" s="45"/>
      <c r="J34" s="305" t="s">
        <v>174</v>
      </c>
      <c r="K34" s="392">
        <f>IF(OR(L4=0, L4="-"), "-", L19/L4)</f>
        <v>7.8786737316444783E-2</v>
      </c>
      <c r="L34" s="393"/>
      <c r="M34" s="392" t="str">
        <f>IF(OR(N4=0, N4="-"), "-", N19/N4)</f>
        <v>-</v>
      </c>
      <c r="N34" s="393"/>
      <c r="O34" s="392" t="str">
        <f>IF(OR(P4=0, P4="-"), "-", P19/P4)</f>
        <v>-</v>
      </c>
      <c r="P34" s="393"/>
    </row>
    <row r="35" spans="1:16" ht="15" customHeight="1" x14ac:dyDescent="0.25">
      <c r="A35" s="404" t="s">
        <v>119</v>
      </c>
      <c r="B35" s="402" t="s">
        <v>127</v>
      </c>
      <c r="C35" s="403"/>
      <c r="D35" s="403"/>
      <c r="E35" s="403"/>
      <c r="F35" s="403"/>
      <c r="G35" s="403"/>
      <c r="H35" s="403"/>
      <c r="I35" s="45"/>
      <c r="J35" s="305" t="s">
        <v>321</v>
      </c>
      <c r="K35" s="392">
        <f>IF(L16="-","-",IF(L16=0,"-",100*L23*'pomocne tabulky'!N22/L16))</f>
        <v>100.00000000000001</v>
      </c>
      <c r="L35" s="393"/>
      <c r="M35" s="392" t="str">
        <f>IF(N16="-","-",IF(N16=0,"-",100*N23*'pomocne tabulky'!N22/N16))</f>
        <v>-</v>
      </c>
      <c r="N35" s="393"/>
      <c r="O35" s="392" t="str">
        <f>IF(P16="-","-",IF(P16=0,"-",100*P23*'pomocne tabulky'!N22/P16))</f>
        <v>-</v>
      </c>
      <c r="P35" s="393"/>
    </row>
    <row r="36" spans="1:16" ht="15.75" thickBot="1" x14ac:dyDescent="0.3">
      <c r="A36" s="405"/>
      <c r="B36" s="100" t="s">
        <v>128</v>
      </c>
      <c r="C36" s="98" t="s">
        <v>129</v>
      </c>
      <c r="D36" s="90" t="s">
        <v>130</v>
      </c>
      <c r="E36" s="90" t="s">
        <v>131</v>
      </c>
      <c r="F36" s="90" t="s">
        <v>132</v>
      </c>
      <c r="G36" s="90" t="s">
        <v>169</v>
      </c>
      <c r="H36" s="92" t="s">
        <v>347</v>
      </c>
      <c r="J36" s="305" t="s">
        <v>322</v>
      </c>
      <c r="K36" s="392">
        <f>IF(L16="-","-",IF(L16=0, "-", 100*L24*'pomocne tabulky'!N23/L16))</f>
        <v>0</v>
      </c>
      <c r="L36" s="393"/>
      <c r="M36" s="392" t="str">
        <f>IF(N16="-","-",IF(N16=0, "-", 100*N24*'pomocne tabulky'!N23/N16))</f>
        <v>-</v>
      </c>
      <c r="N36" s="393"/>
      <c r="O36" s="392" t="str">
        <f>IF(P16="-","-",IF(P16=0, "-", 100*P24*'pomocne tabulky'!N23/P16))</f>
        <v>-</v>
      </c>
      <c r="P36" s="393"/>
    </row>
    <row r="37" spans="1:16" ht="15.75" thickBot="1" x14ac:dyDescent="0.3">
      <c r="A37" s="406"/>
      <c r="B37" s="96"/>
      <c r="C37" s="99"/>
      <c r="D37" s="96"/>
      <c r="E37" s="96"/>
      <c r="F37" s="96"/>
      <c r="G37" s="96"/>
      <c r="H37" s="97"/>
      <c r="J37" s="305" t="s">
        <v>323</v>
      </c>
      <c r="K37" s="392">
        <f>IF(L16="-","-",IF(L16=0, "-", 100*L25*'pomocne tabulky'!N24/L16))</f>
        <v>0</v>
      </c>
      <c r="L37" s="393"/>
      <c r="M37" s="392" t="str">
        <f>IF(N16="-","-",IF(N16=0, "-", 100*N25*'pomocne tabulky'!N24/N16))</f>
        <v>-</v>
      </c>
      <c r="N37" s="393"/>
      <c r="O37" s="392" t="str">
        <f>IF(P16="-","-",IF(P16=0, "-", 100*P25*'pomocne tabulky'!N24/P16))</f>
        <v>-</v>
      </c>
      <c r="P37" s="393"/>
    </row>
    <row r="38" spans="1:16" x14ac:dyDescent="0.25">
      <c r="A38" s="95" t="s">
        <v>120</v>
      </c>
      <c r="B38" s="280"/>
      <c r="C38" s="280"/>
      <c r="D38" s="280"/>
      <c r="E38" s="280"/>
      <c r="F38" s="280"/>
      <c r="G38" s="280"/>
      <c r="H38" s="281"/>
      <c r="J38" s="305" t="s">
        <v>324</v>
      </c>
      <c r="K38" s="392">
        <f>IF(OR(L23=0, L23="-"), "-", L8/L23)</f>
        <v>3.4503632527754662</v>
      </c>
      <c r="L38" s="393"/>
      <c r="M38" s="392" t="str">
        <f>IF(OR(N23=0, N23="-"), "-", N8/N23)</f>
        <v>-</v>
      </c>
      <c r="N38" s="393"/>
      <c r="O38" s="392" t="str">
        <f>IF(OR(P23=0, P23="-"), "-", P8/P23)</f>
        <v>-</v>
      </c>
      <c r="P38" s="393"/>
    </row>
    <row r="39" spans="1:16" x14ac:dyDescent="0.25">
      <c r="A39" s="93" t="s">
        <v>121</v>
      </c>
      <c r="B39" s="282"/>
      <c r="C39" s="282"/>
      <c r="D39" s="282"/>
      <c r="E39" s="282"/>
      <c r="F39" s="282"/>
      <c r="G39" s="282"/>
      <c r="H39" s="283"/>
      <c r="J39" s="305" t="s">
        <v>337</v>
      </c>
      <c r="K39" s="392">
        <f>IF(OR(L16=0, L16="-"), "-", L8/L16)</f>
        <v>15.274078009239688</v>
      </c>
      <c r="L39" s="393"/>
      <c r="M39" s="392" t="str">
        <f>IF(OR(N16=0, N16="-"), "-", N8/N16)</f>
        <v>-</v>
      </c>
      <c r="N39" s="393"/>
      <c r="O39" s="392" t="str">
        <f>IF(OR(P16=0, P16="-"), "-", P8/P16)</f>
        <v>-</v>
      </c>
      <c r="P39" s="393"/>
    </row>
    <row r="40" spans="1:16" x14ac:dyDescent="0.25">
      <c r="A40" s="93" t="s">
        <v>122</v>
      </c>
      <c r="B40" s="280"/>
      <c r="C40" s="280"/>
      <c r="D40" s="280"/>
      <c r="E40" s="280"/>
      <c r="F40" s="280"/>
      <c r="G40" s="280"/>
      <c r="H40" s="281"/>
      <c r="J40" s="305" t="s">
        <v>336</v>
      </c>
      <c r="K40" s="392">
        <f>IF(OR(L23=0, L23="-"), "-", L4/L23)</f>
        <v>0.93756249294342831</v>
      </c>
      <c r="L40" s="393"/>
      <c r="M40" s="392" t="str">
        <f>IF(OR(N23=0, N23="-"), "-", N4/N23)</f>
        <v>-</v>
      </c>
      <c r="N40" s="393"/>
      <c r="O40" s="392" t="str">
        <f>IF(OR(P23=0, P23="-"), "-", P4/P23)</f>
        <v>-</v>
      </c>
      <c r="P40" s="393"/>
    </row>
    <row r="41" spans="1:16" x14ac:dyDescent="0.25">
      <c r="A41" s="93" t="s">
        <v>123</v>
      </c>
      <c r="B41" s="282"/>
      <c r="C41" s="282"/>
      <c r="D41" s="282"/>
      <c r="E41" s="282"/>
      <c r="F41" s="282"/>
      <c r="G41" s="282"/>
      <c r="H41" s="283"/>
      <c r="J41" s="305" t="s">
        <v>338</v>
      </c>
      <c r="K41" s="392">
        <f>IF(OR(L16=0, L16="-"), "-", L4/L16)</f>
        <v>4.1504043506827433</v>
      </c>
      <c r="L41" s="393"/>
      <c r="M41" s="392" t="str">
        <f>IF(OR(N16=0, N16="-"), "-", N4/N16)</f>
        <v>-</v>
      </c>
      <c r="N41" s="393"/>
      <c r="O41" s="392" t="str">
        <f>IF(OR(P16=0, P16="-"), "-", P4/P16)</f>
        <v>-</v>
      </c>
      <c r="P41" s="393"/>
    </row>
    <row r="42" spans="1:16" x14ac:dyDescent="0.25">
      <c r="A42" s="93" t="s">
        <v>124</v>
      </c>
      <c r="B42" s="280"/>
      <c r="C42" s="280"/>
      <c r="D42" s="280"/>
      <c r="E42" s="280"/>
      <c r="F42" s="280"/>
      <c r="G42" s="280"/>
      <c r="H42" s="281"/>
    </row>
    <row r="43" spans="1:16" x14ac:dyDescent="0.25">
      <c r="A43" s="93" t="s">
        <v>125</v>
      </c>
      <c r="B43" s="282"/>
      <c r="C43" s="282"/>
      <c r="D43" s="282"/>
      <c r="E43" s="282"/>
      <c r="F43" s="282"/>
      <c r="G43" s="282"/>
      <c r="H43" s="283"/>
    </row>
    <row r="44" spans="1:16" x14ac:dyDescent="0.25">
      <c r="A44" s="306" t="s">
        <v>126</v>
      </c>
      <c r="B44" s="307"/>
      <c r="C44" s="307"/>
      <c r="D44" s="307"/>
      <c r="E44" s="307"/>
      <c r="F44" s="307"/>
      <c r="G44" s="307"/>
      <c r="H44" s="308"/>
    </row>
    <row r="45" spans="1:16" ht="15.75" thickBot="1" x14ac:dyDescent="0.3">
      <c r="A45" s="94" t="s">
        <v>334</v>
      </c>
      <c r="B45" s="284"/>
      <c r="C45" s="284"/>
      <c r="D45" s="284"/>
      <c r="E45" s="284"/>
      <c r="F45" s="284"/>
      <c r="G45" s="284"/>
      <c r="H45" s="285"/>
    </row>
    <row r="46" spans="1:16" x14ac:dyDescent="0.25">
      <c r="A46" s="394"/>
      <c r="B46" s="395"/>
      <c r="C46" s="395"/>
      <c r="D46" s="395"/>
      <c r="E46" s="395"/>
      <c r="F46" s="395"/>
      <c r="G46" s="396"/>
      <c r="H46" s="312"/>
    </row>
    <row r="48" spans="1:16" ht="15.75" thickBot="1" x14ac:dyDescent="0.3">
      <c r="A48" s="389" t="s">
        <v>350</v>
      </c>
      <c r="B48" s="390"/>
      <c r="C48" s="390"/>
      <c r="D48" s="390"/>
      <c r="E48" s="390"/>
      <c r="F48" s="390"/>
      <c r="G48" s="390"/>
      <c r="H48" s="391"/>
    </row>
    <row r="49" spans="1:9" x14ac:dyDescent="0.25">
      <c r="A49" s="336" t="s">
        <v>349</v>
      </c>
      <c r="B49" s="333" t="s">
        <v>128</v>
      </c>
      <c r="C49" s="333" t="s">
        <v>129</v>
      </c>
      <c r="D49" s="333" t="s">
        <v>130</v>
      </c>
      <c r="E49" s="333" t="s">
        <v>131</v>
      </c>
      <c r="F49" s="333" t="s">
        <v>132</v>
      </c>
      <c r="G49" s="333" t="s">
        <v>169</v>
      </c>
      <c r="H49" s="334" t="s">
        <v>347</v>
      </c>
      <c r="I49" s="45"/>
    </row>
    <row r="50" spans="1:9" ht="15" customHeight="1" thickBot="1" x14ac:dyDescent="0.3">
      <c r="A50" s="335" t="s">
        <v>351</v>
      </c>
      <c r="B50" s="367">
        <f>IF('KNO3'!$E$43, 'KNO3'!$E$43/SUM(B38:B45,B24:B31,B10:B17), "-")</f>
        <v>12.5</v>
      </c>
      <c r="C50" s="367">
        <f>IF(KH2PO4!$E$43, KH2PO4!$E$43/SUM(C38:C45,C24:C31,C10:C17), "-")</f>
        <v>2.5</v>
      </c>
      <c r="D50" s="367">
        <f>IF(K2SO4!$E$43, K2SO4!$E$43/SUM(D38:D45,D24:D31,D10:D17), "-")</f>
        <v>1.5625</v>
      </c>
      <c r="E50" s="367">
        <f>IF(MgSO4!$E$43, MgSO4!$E$43/SUM(E38:E45,E24:E31,E10:E17), "-")</f>
        <v>4.166666666666667</v>
      </c>
      <c r="F50" s="367">
        <f>IF(Tenso!$E$43, Tenso!$E$43/SUM(F38:F45,F24:F31,F10:F17), "-")</f>
        <v>3.125</v>
      </c>
      <c r="G50" s="367" t="e">
        <f>IF(MAKRO!$E$43, MAKRO!$E$43/SUM(G38:G45,G24:G31,G10:G17), "-")</f>
        <v>#DIV/0!</v>
      </c>
      <c r="H50" s="367" t="str">
        <f>IF('#7'!$E$43, '#7'!$E$43/SUM(H38:H45,H24:H31,H10:H17), "-")</f>
        <v>-</v>
      </c>
      <c r="I50" s="45"/>
    </row>
    <row r="51" spans="1:9" x14ac:dyDescent="0.25">
      <c r="A51" s="53"/>
      <c r="B51" s="53"/>
      <c r="C51" s="53"/>
      <c r="D51" s="53"/>
      <c r="E51" s="53"/>
      <c r="F51" s="53"/>
      <c r="G51" s="53"/>
      <c r="H51" s="53"/>
    </row>
  </sheetData>
  <sheetProtection password="9D4F" sheet="1" objects="1" scenarios="1"/>
  <mergeCells count="56">
    <mergeCell ref="O1:P1"/>
    <mergeCell ref="O2:O3"/>
    <mergeCell ref="M2:M3"/>
    <mergeCell ref="K2:K3"/>
    <mergeCell ref="L2:L3"/>
    <mergeCell ref="N2:N3"/>
    <mergeCell ref="P2:P3"/>
    <mergeCell ref="M1:N1"/>
    <mergeCell ref="A34:H34"/>
    <mergeCell ref="B21:H21"/>
    <mergeCell ref="B35:H35"/>
    <mergeCell ref="A35:A37"/>
    <mergeCell ref="K1:L1"/>
    <mergeCell ref="B2:D2"/>
    <mergeCell ref="B3:D3"/>
    <mergeCell ref="B4:D4"/>
    <mergeCell ref="J1:J3"/>
    <mergeCell ref="A7:A9"/>
    <mergeCell ref="A21:A23"/>
    <mergeCell ref="A32:G32"/>
    <mergeCell ref="B7:H7"/>
    <mergeCell ref="A18:H18"/>
    <mergeCell ref="A6:H6"/>
    <mergeCell ref="A20:H20"/>
    <mergeCell ref="M32:N32"/>
    <mergeCell ref="O32:P32"/>
    <mergeCell ref="K33:L33"/>
    <mergeCell ref="M33:N33"/>
    <mergeCell ref="O33:P33"/>
    <mergeCell ref="K32:L32"/>
    <mergeCell ref="M37:N37"/>
    <mergeCell ref="O37:P37"/>
    <mergeCell ref="O34:P34"/>
    <mergeCell ref="M34:N34"/>
    <mergeCell ref="K34:L34"/>
    <mergeCell ref="K35:L35"/>
    <mergeCell ref="M35:N35"/>
    <mergeCell ref="O35:P35"/>
    <mergeCell ref="K36:L36"/>
    <mergeCell ref="M36:N36"/>
    <mergeCell ref="O36:P36"/>
    <mergeCell ref="K37:L37"/>
    <mergeCell ref="A48:H48"/>
    <mergeCell ref="M41:N41"/>
    <mergeCell ref="O41:P41"/>
    <mergeCell ref="K38:L38"/>
    <mergeCell ref="M38:N38"/>
    <mergeCell ref="O38:P38"/>
    <mergeCell ref="K39:L39"/>
    <mergeCell ref="M39:N39"/>
    <mergeCell ref="O39:P39"/>
    <mergeCell ref="K40:L40"/>
    <mergeCell ref="M40:N40"/>
    <mergeCell ref="O40:P40"/>
    <mergeCell ref="K41:L41"/>
    <mergeCell ref="A46:G46"/>
  </mergeCells>
  <conditionalFormatting sqref="K32 K1:L2 A6">
    <cfRule type="expression" dxfId="148" priority="85">
      <formula>$E$2</formula>
    </cfRule>
  </conditionalFormatting>
  <conditionalFormatting sqref="M32 M1:N2 A20">
    <cfRule type="expression" dxfId="147" priority="84">
      <formula>$E$3</formula>
    </cfRule>
  </conditionalFormatting>
  <conditionalFormatting sqref="O32 P2 A34 O1:O2">
    <cfRule type="expression" dxfId="146" priority="82">
      <formula>$E$4</formula>
    </cfRule>
  </conditionalFormatting>
  <conditionalFormatting sqref="B38:F45 G11:G15 B24:F31 B10:F17">
    <cfRule type="expression" dxfId="145" priority="81">
      <formula>IF(ISBLANK(B10), 0, 1)</formula>
    </cfRule>
  </conditionalFormatting>
  <conditionalFormatting sqref="H10:H17">
    <cfRule type="expression" dxfId="144" priority="9">
      <formula>IF(ISBLANK(H10), 0, 1)</formula>
    </cfRule>
  </conditionalFormatting>
  <conditionalFormatting sqref="G10 G16:G17">
    <cfRule type="expression" dxfId="143" priority="8">
      <formula>IF(ISBLANK(G10), 0, 1)</formula>
    </cfRule>
  </conditionalFormatting>
  <conditionalFormatting sqref="H24:H31">
    <cfRule type="expression" dxfId="142" priority="7">
      <formula>IF(ISBLANK(H24), 0, 1)</formula>
    </cfRule>
  </conditionalFormatting>
  <conditionalFormatting sqref="H38:H45">
    <cfRule type="expression" dxfId="141" priority="6">
      <formula>IF(ISBLANK(H38), 0, 1)</formula>
    </cfRule>
  </conditionalFormatting>
  <conditionalFormatting sqref="G38:G45">
    <cfRule type="expression" dxfId="140" priority="5">
      <formula>IF(ISBLANK(G38), 0, 1)</formula>
    </cfRule>
  </conditionalFormatting>
  <conditionalFormatting sqref="G24:G31">
    <cfRule type="expression" dxfId="139" priority="4">
      <formula>IF(ISBLANK(G24), 0, 1)</formula>
    </cfRule>
  </conditionalFormatting>
  <conditionalFormatting sqref="B50:H50">
    <cfRule type="expression" dxfId="138" priority="1">
      <formula>IF(ISBLANK(B50), 0, 1)</formula>
    </cfRule>
  </conditionalFormatting>
  <pageMargins left="0.7" right="0.7" top="0.75" bottom="0.75" header="0.3" footer="0.3"/>
  <pageSetup paperSize="9" scale="77" orientation="landscape" horizontalDpi="300" verticalDpi="300" copies="0" r:id="rId1"/>
  <colBreaks count="1" manualBreakCount="1"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46"/>
  <sheetViews>
    <sheetView workbookViewId="0">
      <selection activeCell="L6" sqref="L6"/>
    </sheetView>
  </sheetViews>
  <sheetFormatPr defaultColWidth="9.140625" defaultRowHeight="15" x14ac:dyDescent="0.25"/>
  <cols>
    <col min="1" max="1" width="33.140625" style="349" customWidth="1"/>
    <col min="2" max="4" width="16.7109375" style="349" customWidth="1"/>
    <col min="5" max="5" width="3" style="349" customWidth="1"/>
    <col min="6" max="6" width="33.140625" style="349" customWidth="1"/>
    <col min="7" max="9" width="16.7109375" style="349" customWidth="1"/>
    <col min="10" max="10" width="3" style="349" customWidth="1"/>
    <col min="11" max="11" width="33.140625" style="349" customWidth="1"/>
    <col min="12" max="14" width="16.7109375" style="349" customWidth="1"/>
    <col min="15" max="16384" width="9.140625" style="349"/>
  </cols>
  <sheetData>
    <row r="1" spans="1:14" ht="18.75" x14ac:dyDescent="0.3">
      <c r="A1" s="350" t="s">
        <v>54</v>
      </c>
      <c r="B1" s="339" t="s">
        <v>352</v>
      </c>
      <c r="C1" s="340" t="s">
        <v>357</v>
      </c>
      <c r="D1" s="341" t="s">
        <v>358</v>
      </c>
      <c r="F1" s="350" t="s">
        <v>51</v>
      </c>
      <c r="G1" s="339" t="s">
        <v>352</v>
      </c>
      <c r="H1" s="340" t="s">
        <v>357</v>
      </c>
      <c r="I1" s="341" t="s">
        <v>358</v>
      </c>
      <c r="K1" s="350" t="s">
        <v>17</v>
      </c>
      <c r="L1" s="339" t="s">
        <v>352</v>
      </c>
      <c r="M1" s="340" t="s">
        <v>357</v>
      </c>
      <c r="N1" s="341" t="s">
        <v>358</v>
      </c>
    </row>
    <row r="2" spans="1:14" x14ac:dyDescent="0.25">
      <c r="A2" s="338" t="s">
        <v>356</v>
      </c>
      <c r="B2" s="351">
        <f>hnojenie!$E$2</f>
        <v>63</v>
      </c>
      <c r="C2" s="352">
        <f>hnojenie!$E$3</f>
        <v>0</v>
      </c>
      <c r="D2" s="353">
        <f>hnojenie!$E$4</f>
        <v>0</v>
      </c>
      <c r="F2" s="338" t="s">
        <v>356</v>
      </c>
      <c r="G2" s="351">
        <f>hnojenie!$E$2</f>
        <v>63</v>
      </c>
      <c r="H2" s="352">
        <f>hnojenie!$E$3</f>
        <v>0</v>
      </c>
      <c r="I2" s="353">
        <f>hnojenie!$E$4</f>
        <v>0</v>
      </c>
      <c r="K2" s="338" t="s">
        <v>356</v>
      </c>
      <c r="L2" s="351">
        <f>hnojenie!$E$2</f>
        <v>63</v>
      </c>
      <c r="M2" s="352">
        <f>hnojenie!$E$3</f>
        <v>0</v>
      </c>
      <c r="N2" s="353">
        <f>hnojenie!$E$4</f>
        <v>0</v>
      </c>
    </row>
    <row r="3" spans="1:14" x14ac:dyDescent="0.25">
      <c r="A3" s="338" t="s">
        <v>362</v>
      </c>
      <c r="B3" s="342">
        <v>10</v>
      </c>
      <c r="C3" s="343"/>
      <c r="D3" s="344"/>
      <c r="F3" s="338" t="s">
        <v>362</v>
      </c>
      <c r="G3" s="342">
        <v>0.25</v>
      </c>
      <c r="H3" s="343"/>
      <c r="I3" s="344"/>
      <c r="K3" s="338" t="s">
        <v>362</v>
      </c>
      <c r="L3" s="342">
        <v>0.5</v>
      </c>
      <c r="M3" s="343"/>
      <c r="N3" s="344"/>
    </row>
    <row r="4" spans="1:14" x14ac:dyDescent="0.25">
      <c r="A4" s="338" t="s">
        <v>363</v>
      </c>
      <c r="B4" s="342">
        <v>8.4</v>
      </c>
      <c r="C4" s="343"/>
      <c r="D4" s="344"/>
      <c r="F4" s="338" t="s">
        <v>363</v>
      </c>
      <c r="G4" s="342"/>
      <c r="H4" s="343"/>
      <c r="I4" s="344"/>
      <c r="K4" s="338" t="s">
        <v>363</v>
      </c>
      <c r="L4" s="342">
        <v>0.01</v>
      </c>
      <c r="M4" s="343"/>
      <c r="N4" s="344"/>
    </row>
    <row r="5" spans="1:14" x14ac:dyDescent="0.25">
      <c r="A5" s="338" t="s">
        <v>361</v>
      </c>
      <c r="B5" s="358">
        <v>8.4</v>
      </c>
      <c r="C5" s="359"/>
      <c r="D5" s="360"/>
      <c r="F5" s="338" t="s">
        <v>361</v>
      </c>
      <c r="G5" s="342">
        <v>1.7</v>
      </c>
      <c r="H5" s="343"/>
      <c r="I5" s="360"/>
      <c r="K5" s="338" t="s">
        <v>361</v>
      </c>
      <c r="L5" s="342">
        <v>0.31</v>
      </c>
      <c r="M5" s="343"/>
      <c r="N5" s="360"/>
    </row>
    <row r="6" spans="1:14" x14ac:dyDescent="0.25">
      <c r="A6" s="338" t="s">
        <v>360</v>
      </c>
      <c r="B6" s="345">
        <f>hnojenie!L23</f>
        <v>4.5947571156901823</v>
      </c>
      <c r="C6" s="337" t="str">
        <f>hnojenie!N23</f>
        <v>-</v>
      </c>
      <c r="D6" s="322" t="str">
        <f>hnojenie!P23</f>
        <v>-</v>
      </c>
      <c r="F6" s="338" t="s">
        <v>360</v>
      </c>
      <c r="G6" s="345">
        <f>hnojenie!L22</f>
        <v>2.3484211754571707</v>
      </c>
      <c r="H6" s="337" t="str">
        <f>hnojenie!N22</f>
        <v>-</v>
      </c>
      <c r="I6" s="322" t="str">
        <f>hnojenie!P22</f>
        <v>-</v>
      </c>
      <c r="K6" s="338" t="s">
        <v>360</v>
      </c>
      <c r="L6" s="345">
        <f>hnojenie!L10</f>
        <v>0.50712380952380953</v>
      </c>
      <c r="M6" s="337" t="str">
        <f>hnojenie!N10</f>
        <v>-</v>
      </c>
      <c r="N6" s="322" t="str">
        <f>hnojenie!P10</f>
        <v>-</v>
      </c>
    </row>
    <row r="7" spans="1:14" x14ac:dyDescent="0.25">
      <c r="A7" s="338" t="s">
        <v>353</v>
      </c>
      <c r="B7" s="358">
        <v>25</v>
      </c>
      <c r="C7" s="359"/>
      <c r="D7" s="360"/>
      <c r="F7" s="338" t="s">
        <v>353</v>
      </c>
      <c r="G7" s="351">
        <f>$B7</f>
        <v>25</v>
      </c>
      <c r="H7" s="352">
        <f>$C$7</f>
        <v>0</v>
      </c>
      <c r="I7" s="353">
        <f>$D$7</f>
        <v>0</v>
      </c>
      <c r="K7" s="338" t="s">
        <v>353</v>
      </c>
      <c r="L7" s="351">
        <f>$B7</f>
        <v>25</v>
      </c>
      <c r="M7" s="352">
        <f>$C$7</f>
        <v>0</v>
      </c>
      <c r="N7" s="353">
        <f>$D$7</f>
        <v>0</v>
      </c>
    </row>
    <row r="8" spans="1:14" ht="15.75" thickBot="1" x14ac:dyDescent="0.3">
      <c r="A8" s="338" t="s">
        <v>355</v>
      </c>
      <c r="B8" s="346">
        <f t="shared" ref="B8:C8" si="0">IF(B$2, 100*B$7/B$2, "-")</f>
        <v>39.682539682539684</v>
      </c>
      <c r="C8" s="347" t="str">
        <f t="shared" si="0"/>
        <v>-</v>
      </c>
      <c r="D8" s="348" t="str">
        <f>IF(D$2, 100*D$7/D$2, "-")</f>
        <v>-</v>
      </c>
      <c r="F8" s="338" t="s">
        <v>355</v>
      </c>
      <c r="G8" s="346">
        <f t="shared" ref="G8:H8" si="1">IF(G$2, 100*G$7/G$2, "-")</f>
        <v>39.682539682539684</v>
      </c>
      <c r="H8" s="347" t="str">
        <f t="shared" si="1"/>
        <v>-</v>
      </c>
      <c r="I8" s="348" t="str">
        <f>IF(I$2, 100*I$7/I$2, "-")</f>
        <v>-</v>
      </c>
      <c r="K8" s="338" t="s">
        <v>355</v>
      </c>
      <c r="L8" s="346">
        <f t="shared" ref="L8:M8" si="2">IF(L$2, 100*L$7/L$2, "-")</f>
        <v>39.682539682539684</v>
      </c>
      <c r="M8" s="347" t="str">
        <f t="shared" si="2"/>
        <v>-</v>
      </c>
      <c r="N8" s="348" t="str">
        <f>IF(N$2, 100*N$7/N$2, "-")</f>
        <v>-</v>
      </c>
    </row>
    <row r="28" spans="1:14" ht="15.75" thickBot="1" x14ac:dyDescent="0.3"/>
    <row r="29" spans="1:14" ht="15.75" customHeight="1" thickBot="1" x14ac:dyDescent="0.3">
      <c r="A29" s="437" t="s">
        <v>354</v>
      </c>
      <c r="B29" s="434" t="s">
        <v>359</v>
      </c>
      <c r="C29" s="435"/>
      <c r="D29" s="436"/>
      <c r="F29" s="437" t="s">
        <v>354</v>
      </c>
      <c r="G29" s="434" t="s">
        <v>369</v>
      </c>
      <c r="H29" s="435"/>
      <c r="I29" s="436"/>
      <c r="K29" s="437" t="s">
        <v>354</v>
      </c>
      <c r="L29" s="434" t="s">
        <v>370</v>
      </c>
      <c r="M29" s="435"/>
      <c r="N29" s="436"/>
    </row>
    <row r="30" spans="1:14" x14ac:dyDescent="0.25">
      <c r="A30" s="438"/>
      <c r="B30" s="339" t="s">
        <v>352</v>
      </c>
      <c r="C30" s="340" t="s">
        <v>357</v>
      </c>
      <c r="D30" s="341" t="s">
        <v>358</v>
      </c>
      <c r="F30" s="438"/>
      <c r="G30" s="339" t="s">
        <v>352</v>
      </c>
      <c r="H30" s="340" t="s">
        <v>357</v>
      </c>
      <c r="I30" s="341" t="s">
        <v>358</v>
      </c>
      <c r="K30" s="438"/>
      <c r="L30" s="339" t="s">
        <v>352</v>
      </c>
      <c r="M30" s="340" t="s">
        <v>357</v>
      </c>
      <c r="N30" s="341" t="s">
        <v>358</v>
      </c>
    </row>
    <row r="31" spans="1:14" x14ac:dyDescent="0.25">
      <c r="A31" s="364">
        <v>0</v>
      </c>
      <c r="B31" s="362">
        <f>IF(B$2,B3,"-")</f>
        <v>10</v>
      </c>
      <c r="C31" s="354" t="str">
        <f>IF(C$2,C3,"-")</f>
        <v>-</v>
      </c>
      <c r="D31" s="355" t="str">
        <f>IF(D$2,D3,"-")</f>
        <v>-</v>
      </c>
      <c r="F31" s="364">
        <v>0</v>
      </c>
      <c r="G31" s="362">
        <f>IF(G$2,G3,"-")</f>
        <v>0.25</v>
      </c>
      <c r="H31" s="354" t="str">
        <f>IF(H$2,H3,"-")</f>
        <v>-</v>
      </c>
      <c r="I31" s="355" t="str">
        <f>IF(I$2,I3,"-")</f>
        <v>-</v>
      </c>
      <c r="K31" s="364">
        <v>0</v>
      </c>
      <c r="L31" s="362">
        <f>IF(L$2,L3,"-")</f>
        <v>0.5</v>
      </c>
      <c r="M31" s="354" t="str">
        <f>IF(M$2,M3,"-")</f>
        <v>-</v>
      </c>
      <c r="N31" s="355" t="str">
        <f>IF(N$2,N3,"-")</f>
        <v>-</v>
      </c>
    </row>
    <row r="32" spans="1:14" x14ac:dyDescent="0.25">
      <c r="A32" s="365">
        <v>1</v>
      </c>
      <c r="B32" s="362">
        <f>IF(B$2,IF(B$2&gt;B$7,((((B$2-B$7)*B31+B$7*B$4)/B$2)+B$6-B$5), "Veľká vým. vody"), "-")</f>
        <v>5.5598364807695475</v>
      </c>
      <c r="C32" s="354" t="str">
        <f t="shared" ref="C32:C46" si="3">IF(C$2,IF(C$2&gt;C$7, ((((C$2-C$7)*C31+C$7*C$4)/C$2)+C$6-C$5), "Veľká vým. vody"), "-")</f>
        <v>-</v>
      </c>
      <c r="D32" s="355" t="str">
        <f t="shared" ref="D32:D46" si="4">IF(D$2,IF(D$2&gt;D$7, ((((D$2-D$7)*D31+D$7*D$4)/D$2)+D$6-D$5), "Veľká vým. vody"), "-")</f>
        <v>-</v>
      </c>
      <c r="F32" s="365">
        <v>1</v>
      </c>
      <c r="G32" s="362">
        <f>IF(G$2,IF(G$2&gt;G$7,((((G$2-G$7)*G31+G$7*G$4)/G$2)+G$6-G$5), "Veľká vým. vody"), "-")</f>
        <v>0.79921482625082141</v>
      </c>
      <c r="H32" s="354" t="str">
        <f t="shared" ref="H32:H46" si="5">IF(H$2,IF(H$2&gt;H$7, ((((H$2-H$7)*H31+H$7*H$4)/H$2)+H$6-H$5), "Veľká vým. vody"), "-")</f>
        <v>-</v>
      </c>
      <c r="I32" s="355" t="str">
        <f t="shared" ref="I32:I46" si="6">IF(I$2,IF(I$2&gt;I$7, ((((I$2-I$7)*I31+I$7*I$4)/I$2)+I$6-I$5), "Veľká vým. vody"), "-")</f>
        <v>-</v>
      </c>
      <c r="K32" s="365">
        <v>1</v>
      </c>
      <c r="L32" s="362">
        <f>IF(L$2,IF(L$2&gt;L$7,((((L$2-L$7)*L31+L$7*L$4)/L$2)+L$6-L$5), "Veľká vým. vody"), "-")</f>
        <v>0.50267936507936506</v>
      </c>
      <c r="M32" s="354" t="str">
        <f t="shared" ref="M32:M46" si="7">IF(M$2,IF(M$2&gt;M$7, ((((M$2-M$7)*M31+M$7*M$4)/M$2)+M$6-M$5), "Veľká vým. vody"), "-")</f>
        <v>-</v>
      </c>
      <c r="N32" s="355" t="str">
        <f t="shared" ref="N32:N46" si="8">IF(N$2,IF(N$2&gt;N$7, ((((N$2-N$7)*N31+N$7*N$4)/N$2)+N$6-N$5), "Veľká vým. vody"), "-")</f>
        <v>-</v>
      </c>
    </row>
    <row r="33" spans="1:14" x14ac:dyDescent="0.25">
      <c r="A33" s="365">
        <v>2</v>
      </c>
      <c r="B33" s="362">
        <f t="shared" ref="B33:B46" si="9">IF(B$2,IF(B$2&gt;B$7, ((((B$2-B$7)*B32+B$7*B$4)/B$2)+B$6-B$5), "Veľká vým. vody"), "-")</f>
        <v>2.8816426120273686</v>
      </c>
      <c r="C33" s="354" t="str">
        <f t="shared" si="3"/>
        <v>-</v>
      </c>
      <c r="D33" s="355" t="str">
        <f t="shared" si="4"/>
        <v>-</v>
      </c>
      <c r="F33" s="365">
        <v>2</v>
      </c>
      <c r="G33" s="362">
        <f t="shared" ref="G33:G46" si="10">IF(G$2,IF(G$2&gt;G$7, ((((G$2-G$7)*G32+G$7*G$4)/G$2)+G$6-G$5), "Veľká vým. vody"), "-")</f>
        <v>1.1304872611322694</v>
      </c>
      <c r="H33" s="354" t="str">
        <f t="shared" si="5"/>
        <v>-</v>
      </c>
      <c r="I33" s="355" t="str">
        <f t="shared" si="6"/>
        <v>-</v>
      </c>
      <c r="K33" s="365">
        <v>2</v>
      </c>
      <c r="L33" s="362">
        <f t="shared" ref="L33:L46" si="11">IF(L$2,IF(L$2&gt;L$7, ((((L$2-L$7)*L32+L$7*L$4)/L$2)+L$6-L$5), "Veľká vým. vody"), "-")</f>
        <v>0.50429549004787089</v>
      </c>
      <c r="M33" s="354" t="str">
        <f t="shared" si="7"/>
        <v>-</v>
      </c>
      <c r="N33" s="355" t="str">
        <f t="shared" si="8"/>
        <v>-</v>
      </c>
    </row>
    <row r="34" spans="1:14" x14ac:dyDescent="0.25">
      <c r="A34" s="365">
        <v>3</v>
      </c>
      <c r="B34" s="362">
        <f t="shared" si="9"/>
        <v>1.2662240880241509</v>
      </c>
      <c r="C34" s="354" t="str">
        <f t="shared" si="3"/>
        <v>-</v>
      </c>
      <c r="D34" s="355" t="str">
        <f t="shared" si="4"/>
        <v>-</v>
      </c>
      <c r="F34" s="365">
        <v>3</v>
      </c>
      <c r="G34" s="362">
        <f t="shared" si="10"/>
        <v>1.3303023805845713</v>
      </c>
      <c r="H34" s="354" t="str">
        <f t="shared" si="5"/>
        <v>-</v>
      </c>
      <c r="I34" s="355" t="str">
        <f t="shared" si="6"/>
        <v>-</v>
      </c>
      <c r="K34" s="365">
        <v>3</v>
      </c>
      <c r="L34" s="362">
        <f t="shared" si="11"/>
        <v>0.50527029558443015</v>
      </c>
      <c r="M34" s="354" t="str">
        <f t="shared" si="7"/>
        <v>-</v>
      </c>
      <c r="N34" s="355" t="str">
        <f t="shared" si="8"/>
        <v>-</v>
      </c>
    </row>
    <row r="35" spans="1:14" x14ac:dyDescent="0.25">
      <c r="A35" s="365">
        <v>4</v>
      </c>
      <c r="B35" s="362">
        <f t="shared" si="9"/>
        <v>0.29184466084760707</v>
      </c>
      <c r="C35" s="354" t="str">
        <f t="shared" si="3"/>
        <v>-</v>
      </c>
      <c r="D35" s="355" t="str">
        <f t="shared" si="4"/>
        <v>-</v>
      </c>
      <c r="F35" s="365">
        <v>4</v>
      </c>
      <c r="G35" s="362">
        <f t="shared" si="10"/>
        <v>1.4508257859684994</v>
      </c>
      <c r="H35" s="354" t="str">
        <f t="shared" si="5"/>
        <v>-</v>
      </c>
      <c r="I35" s="355" t="str">
        <f t="shared" si="6"/>
        <v>-</v>
      </c>
      <c r="K35" s="365">
        <v>4</v>
      </c>
      <c r="L35" s="362">
        <f t="shared" si="11"/>
        <v>0.50585827352711665</v>
      </c>
      <c r="M35" s="354" t="str">
        <f t="shared" si="7"/>
        <v>-</v>
      </c>
      <c r="N35" s="355" t="str">
        <f t="shared" si="8"/>
        <v>-</v>
      </c>
    </row>
    <row r="36" spans="1:14" x14ac:dyDescent="0.25">
      <c r="A36" s="365">
        <v>5</v>
      </c>
      <c r="B36" s="362">
        <f t="shared" si="9"/>
        <v>-0.29587626348110341</v>
      </c>
      <c r="C36" s="354" t="str">
        <f t="shared" si="3"/>
        <v>-</v>
      </c>
      <c r="D36" s="355" t="str">
        <f t="shared" si="4"/>
        <v>-</v>
      </c>
      <c r="F36" s="365">
        <v>5</v>
      </c>
      <c r="G36" s="362">
        <f t="shared" si="10"/>
        <v>1.5235224431842023</v>
      </c>
      <c r="H36" s="354" t="str">
        <f t="shared" si="5"/>
        <v>-</v>
      </c>
      <c r="I36" s="355" t="str">
        <f t="shared" si="6"/>
        <v>-</v>
      </c>
      <c r="K36" s="365">
        <v>5</v>
      </c>
      <c r="L36" s="362">
        <f t="shared" si="11"/>
        <v>0.50621292688937203</v>
      </c>
      <c r="M36" s="354" t="str">
        <f t="shared" si="7"/>
        <v>-</v>
      </c>
      <c r="N36" s="355" t="str">
        <f t="shared" si="8"/>
        <v>-</v>
      </c>
    </row>
    <row r="37" spans="1:14" x14ac:dyDescent="0.25">
      <c r="A37" s="365">
        <v>6</v>
      </c>
      <c r="B37" s="362">
        <f t="shared" si="9"/>
        <v>-0.6503745987904832</v>
      </c>
      <c r="C37" s="354" t="str">
        <f t="shared" si="3"/>
        <v>-</v>
      </c>
      <c r="D37" s="355" t="str">
        <f t="shared" si="4"/>
        <v>-</v>
      </c>
      <c r="F37" s="365">
        <v>6</v>
      </c>
      <c r="G37" s="362">
        <f t="shared" si="10"/>
        <v>1.5673712205524037</v>
      </c>
      <c r="H37" s="354" t="str">
        <f t="shared" si="5"/>
        <v>-</v>
      </c>
      <c r="I37" s="355" t="str">
        <f t="shared" si="6"/>
        <v>-</v>
      </c>
      <c r="K37" s="365">
        <v>6</v>
      </c>
      <c r="L37" s="362">
        <f t="shared" si="11"/>
        <v>0.50642684479041478</v>
      </c>
      <c r="M37" s="354" t="str">
        <f t="shared" si="7"/>
        <v>-</v>
      </c>
      <c r="N37" s="355" t="str">
        <f t="shared" si="8"/>
        <v>-</v>
      </c>
    </row>
    <row r="38" spans="1:14" x14ac:dyDescent="0.25">
      <c r="A38" s="365">
        <v>7</v>
      </c>
      <c r="B38" s="362">
        <f t="shared" si="9"/>
        <v>-0.86419899151677626</v>
      </c>
      <c r="C38" s="354" t="str">
        <f t="shared" si="3"/>
        <v>-</v>
      </c>
      <c r="D38" s="355" t="str">
        <f t="shared" si="4"/>
        <v>-</v>
      </c>
      <c r="F38" s="365">
        <v>7</v>
      </c>
      <c r="G38" s="362">
        <f t="shared" si="10"/>
        <v>1.5938196894411603</v>
      </c>
      <c r="H38" s="354" t="str">
        <f t="shared" si="5"/>
        <v>-</v>
      </c>
      <c r="I38" s="355" t="str">
        <f t="shared" si="6"/>
        <v>-</v>
      </c>
      <c r="K38" s="365">
        <v>7</v>
      </c>
      <c r="L38" s="362">
        <f t="shared" si="11"/>
        <v>0.50655587463548835</v>
      </c>
      <c r="M38" s="354" t="str">
        <f t="shared" si="7"/>
        <v>-</v>
      </c>
      <c r="N38" s="355" t="str">
        <f t="shared" si="8"/>
        <v>-</v>
      </c>
    </row>
    <row r="39" spans="1:14" x14ac:dyDescent="0.25">
      <c r="A39" s="365">
        <v>8</v>
      </c>
      <c r="B39" s="362">
        <f t="shared" si="9"/>
        <v>-0.99317243474850869</v>
      </c>
      <c r="C39" s="354" t="str">
        <f t="shared" si="3"/>
        <v>-</v>
      </c>
      <c r="D39" s="355" t="str">
        <f t="shared" si="4"/>
        <v>-</v>
      </c>
      <c r="F39" s="365">
        <v>8</v>
      </c>
      <c r="G39" s="362">
        <f t="shared" si="10"/>
        <v>1.6097727341677117</v>
      </c>
      <c r="H39" s="354" t="str">
        <f t="shared" si="5"/>
        <v>-</v>
      </c>
      <c r="I39" s="355" t="str">
        <f t="shared" si="6"/>
        <v>-</v>
      </c>
      <c r="K39" s="365">
        <v>8</v>
      </c>
      <c r="L39" s="362">
        <f t="shared" si="11"/>
        <v>0.50663370216108827</v>
      </c>
      <c r="M39" s="354" t="str">
        <f t="shared" si="7"/>
        <v>-</v>
      </c>
      <c r="N39" s="355" t="str">
        <f t="shared" si="8"/>
        <v>-</v>
      </c>
    </row>
    <row r="40" spans="1:14" x14ac:dyDescent="0.25">
      <c r="A40" s="365">
        <v>9</v>
      </c>
      <c r="B40" s="362">
        <f t="shared" si="9"/>
        <v>-1.0709659401898701</v>
      </c>
      <c r="C40" s="354" t="str">
        <f t="shared" si="3"/>
        <v>-</v>
      </c>
      <c r="D40" s="355" t="str">
        <f t="shared" si="4"/>
        <v>-</v>
      </c>
      <c r="F40" s="365">
        <v>9</v>
      </c>
      <c r="G40" s="362">
        <f t="shared" si="10"/>
        <v>1.6193952055900762</v>
      </c>
      <c r="H40" s="354" t="str">
        <f t="shared" si="5"/>
        <v>-</v>
      </c>
      <c r="I40" s="355" t="str">
        <f t="shared" si="6"/>
        <v>-</v>
      </c>
      <c r="K40" s="365">
        <v>9</v>
      </c>
      <c r="L40" s="362">
        <f t="shared" si="11"/>
        <v>0.50668064574795801</v>
      </c>
      <c r="M40" s="354" t="str">
        <f t="shared" si="7"/>
        <v>-</v>
      </c>
      <c r="N40" s="355" t="str">
        <f t="shared" si="8"/>
        <v>-</v>
      </c>
    </row>
    <row r="41" spans="1:14" x14ac:dyDescent="0.25">
      <c r="A41" s="365">
        <v>10</v>
      </c>
      <c r="B41" s="362">
        <f t="shared" si="9"/>
        <v>-1.1178890069640257</v>
      </c>
      <c r="C41" s="354" t="str">
        <f t="shared" si="3"/>
        <v>-</v>
      </c>
      <c r="D41" s="355" t="str">
        <f t="shared" si="4"/>
        <v>-</v>
      </c>
      <c r="F41" s="365">
        <v>10</v>
      </c>
      <c r="G41" s="362">
        <f t="shared" si="10"/>
        <v>1.6251992359718199</v>
      </c>
      <c r="H41" s="354" t="str">
        <f t="shared" si="5"/>
        <v>-</v>
      </c>
      <c r="I41" s="355" t="str">
        <f t="shared" si="6"/>
        <v>-</v>
      </c>
      <c r="K41" s="365">
        <v>10</v>
      </c>
      <c r="L41" s="362">
        <f t="shared" si="11"/>
        <v>0.50670896092733986</v>
      </c>
      <c r="M41" s="354" t="str">
        <f t="shared" si="7"/>
        <v>-</v>
      </c>
      <c r="N41" s="355" t="str">
        <f t="shared" si="8"/>
        <v>-</v>
      </c>
    </row>
    <row r="42" spans="1:14" x14ac:dyDescent="0.25">
      <c r="A42" s="365">
        <v>11</v>
      </c>
      <c r="B42" s="362">
        <f t="shared" si="9"/>
        <v>-1.1461918091452619</v>
      </c>
      <c r="C42" s="354" t="str">
        <f t="shared" si="3"/>
        <v>-</v>
      </c>
      <c r="D42" s="355" t="str">
        <f t="shared" si="4"/>
        <v>-</v>
      </c>
      <c r="F42" s="365">
        <v>11</v>
      </c>
      <c r="G42" s="362">
        <f t="shared" si="10"/>
        <v>1.6287000796941415</v>
      </c>
      <c r="H42" s="354" t="str">
        <f t="shared" si="5"/>
        <v>-</v>
      </c>
      <c r="I42" s="355" t="str">
        <f t="shared" si="6"/>
        <v>-</v>
      </c>
      <c r="K42" s="365">
        <v>11</v>
      </c>
      <c r="L42" s="362">
        <f t="shared" si="11"/>
        <v>0.50672603992442711</v>
      </c>
      <c r="M42" s="354" t="str">
        <f t="shared" si="7"/>
        <v>-</v>
      </c>
      <c r="N42" s="355" t="str">
        <f t="shared" si="8"/>
        <v>-</v>
      </c>
    </row>
    <row r="43" spans="1:14" x14ac:dyDescent="0.25">
      <c r="A43" s="365">
        <v>12</v>
      </c>
      <c r="B43" s="362">
        <f t="shared" si="9"/>
        <v>-1.1632633406196593</v>
      </c>
      <c r="C43" s="354" t="str">
        <f t="shared" si="3"/>
        <v>-</v>
      </c>
      <c r="D43" s="355" t="str">
        <f t="shared" si="4"/>
        <v>-</v>
      </c>
      <c r="F43" s="365">
        <v>12</v>
      </c>
      <c r="G43" s="362">
        <f t="shared" si="10"/>
        <v>1.6308116997171289</v>
      </c>
      <c r="H43" s="354" t="str">
        <f t="shared" si="5"/>
        <v>-</v>
      </c>
      <c r="I43" s="355" t="str">
        <f t="shared" si="6"/>
        <v>-</v>
      </c>
      <c r="K43" s="365">
        <v>12</v>
      </c>
      <c r="L43" s="362">
        <f t="shared" si="11"/>
        <v>0.50673634154171787</v>
      </c>
      <c r="M43" s="354" t="str">
        <f t="shared" si="7"/>
        <v>-</v>
      </c>
      <c r="N43" s="355" t="str">
        <f t="shared" si="8"/>
        <v>-</v>
      </c>
    </row>
    <row r="44" spans="1:14" x14ac:dyDescent="0.25">
      <c r="A44" s="365">
        <v>13</v>
      </c>
      <c r="B44" s="362">
        <f t="shared" si="9"/>
        <v>-1.1735604548423115</v>
      </c>
      <c r="C44" s="354" t="str">
        <f t="shared" si="3"/>
        <v>-</v>
      </c>
      <c r="D44" s="355" t="str">
        <f t="shared" si="4"/>
        <v>-</v>
      </c>
      <c r="F44" s="365">
        <v>13</v>
      </c>
      <c r="G44" s="362">
        <f t="shared" si="10"/>
        <v>1.6320853752865501</v>
      </c>
      <c r="H44" s="354" t="str">
        <f t="shared" si="5"/>
        <v>-</v>
      </c>
      <c r="I44" s="355" t="str">
        <f t="shared" si="6"/>
        <v>-</v>
      </c>
      <c r="K44" s="365">
        <v>13</v>
      </c>
      <c r="L44" s="362">
        <f t="shared" si="11"/>
        <v>0.50674255521563927</v>
      </c>
      <c r="M44" s="354" t="str">
        <f t="shared" si="7"/>
        <v>-</v>
      </c>
      <c r="N44" s="355" t="str">
        <f t="shared" si="8"/>
        <v>-</v>
      </c>
    </row>
    <row r="45" spans="1:14" x14ac:dyDescent="0.25">
      <c r="A45" s="365">
        <v>14</v>
      </c>
      <c r="B45" s="362">
        <f t="shared" si="9"/>
        <v>-1.179771412627403</v>
      </c>
      <c r="C45" s="354" t="str">
        <f t="shared" si="3"/>
        <v>-</v>
      </c>
      <c r="D45" s="355" t="str">
        <f t="shared" si="4"/>
        <v>-</v>
      </c>
      <c r="F45" s="365">
        <v>14</v>
      </c>
      <c r="G45" s="362">
        <f t="shared" si="10"/>
        <v>1.6328536240427087</v>
      </c>
      <c r="H45" s="354" t="str">
        <f t="shared" si="5"/>
        <v>-</v>
      </c>
      <c r="I45" s="355" t="str">
        <f t="shared" si="6"/>
        <v>-</v>
      </c>
      <c r="K45" s="365">
        <v>14</v>
      </c>
      <c r="L45" s="362">
        <f t="shared" si="11"/>
        <v>0.50674630314594116</v>
      </c>
      <c r="M45" s="354" t="str">
        <f t="shared" si="7"/>
        <v>-</v>
      </c>
      <c r="N45" s="355" t="str">
        <f t="shared" si="8"/>
        <v>-</v>
      </c>
    </row>
    <row r="46" spans="1:14" ht="15.75" thickBot="1" x14ac:dyDescent="0.3">
      <c r="A46" s="366">
        <v>15</v>
      </c>
      <c r="B46" s="363">
        <f t="shared" si="9"/>
        <v>-1.1835177046247596</v>
      </c>
      <c r="C46" s="356" t="str">
        <f t="shared" si="3"/>
        <v>-</v>
      </c>
      <c r="D46" s="357" t="str">
        <f t="shared" si="4"/>
        <v>-</v>
      </c>
      <c r="F46" s="366">
        <v>15</v>
      </c>
      <c r="G46" s="363">
        <f t="shared" si="10"/>
        <v>1.6333170121813441</v>
      </c>
      <c r="H46" s="356" t="str">
        <f t="shared" si="5"/>
        <v>-</v>
      </c>
      <c r="I46" s="357" t="str">
        <f t="shared" si="6"/>
        <v>-</v>
      </c>
      <c r="K46" s="366">
        <v>15</v>
      </c>
      <c r="L46" s="363">
        <f t="shared" si="11"/>
        <v>0.5067485638023137</v>
      </c>
      <c r="M46" s="356" t="str">
        <f t="shared" si="7"/>
        <v>-</v>
      </c>
      <c r="N46" s="357" t="str">
        <f t="shared" si="8"/>
        <v>-</v>
      </c>
    </row>
  </sheetData>
  <sheetProtection password="9D4F" sheet="1" objects="1" scenarios="1"/>
  <mergeCells count="6">
    <mergeCell ref="G29:I29"/>
    <mergeCell ref="A29:A30"/>
    <mergeCell ref="F29:F30"/>
    <mergeCell ref="K29:K30"/>
    <mergeCell ref="L29:N29"/>
    <mergeCell ref="B29:D29"/>
  </mergeCells>
  <conditionalFormatting sqref="B1">
    <cfRule type="expression" dxfId="137" priority="18">
      <formula>$B$2</formula>
    </cfRule>
  </conditionalFormatting>
  <conditionalFormatting sqref="C1">
    <cfRule type="expression" dxfId="136" priority="17">
      <formula>C2</formula>
    </cfRule>
  </conditionalFormatting>
  <conditionalFormatting sqref="D1">
    <cfRule type="expression" dxfId="135" priority="16">
      <formula>D2</formula>
    </cfRule>
  </conditionalFormatting>
  <conditionalFormatting sqref="I1">
    <cfRule type="expression" dxfId="134" priority="13">
      <formula>I2</formula>
    </cfRule>
  </conditionalFormatting>
  <conditionalFormatting sqref="G1">
    <cfRule type="expression" dxfId="133" priority="15">
      <formula>$B$2</formula>
    </cfRule>
  </conditionalFormatting>
  <conditionalFormatting sqref="H1">
    <cfRule type="expression" dxfId="132" priority="14">
      <formula>H2</formula>
    </cfRule>
  </conditionalFormatting>
  <conditionalFormatting sqref="B30">
    <cfRule type="expression" dxfId="131" priority="12">
      <formula>$B$2</formula>
    </cfRule>
  </conditionalFormatting>
  <conditionalFormatting sqref="C30">
    <cfRule type="expression" dxfId="130" priority="11">
      <formula>$C$2</formula>
    </cfRule>
  </conditionalFormatting>
  <conditionalFormatting sqref="D30">
    <cfRule type="expression" dxfId="129" priority="10">
      <formula>$D$2</formula>
    </cfRule>
  </conditionalFormatting>
  <conditionalFormatting sqref="G30">
    <cfRule type="expression" dxfId="128" priority="9">
      <formula>$B$2</formula>
    </cfRule>
  </conditionalFormatting>
  <conditionalFormatting sqref="H30">
    <cfRule type="expression" dxfId="127" priority="8">
      <formula>$C$2</formula>
    </cfRule>
  </conditionalFormatting>
  <conditionalFormatting sqref="I30">
    <cfRule type="expression" dxfId="126" priority="7">
      <formula>$D$2</formula>
    </cfRule>
  </conditionalFormatting>
  <conditionalFormatting sqref="N1">
    <cfRule type="expression" dxfId="125" priority="4">
      <formula>N2</formula>
    </cfRule>
  </conditionalFormatting>
  <conditionalFormatting sqref="L1">
    <cfRule type="expression" dxfId="124" priority="6">
      <formula>$B$2</formula>
    </cfRule>
  </conditionalFormatting>
  <conditionalFormatting sqref="M1">
    <cfRule type="expression" dxfId="123" priority="5">
      <formula>M2</formula>
    </cfRule>
  </conditionalFormatting>
  <conditionalFormatting sqref="L30">
    <cfRule type="expression" dxfId="122" priority="3">
      <formula>$B$2</formula>
    </cfRule>
  </conditionalFormatting>
  <conditionalFormatting sqref="M30">
    <cfRule type="expression" dxfId="121" priority="2">
      <formula>$C$2</formula>
    </cfRule>
  </conditionalFormatting>
  <conditionalFormatting sqref="N30">
    <cfRule type="expression" dxfId="120" priority="1">
      <formula>$D$2</formula>
    </cfRule>
  </conditionalFormatting>
  <pageMargins left="0.7" right="0.7" top="0.75" bottom="0.75" header="0.3" footer="0.3"/>
  <pageSetup paperSize="9" orientation="portrait" horizontalDpi="300" verticalDpi="300" copies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78"/>
  <sheetViews>
    <sheetView zoomScale="85" zoomScaleNormal="85" workbookViewId="0">
      <pane ySplit="2" topLeftCell="A3" activePane="bottomLeft" state="frozen"/>
      <selection activeCell="A43" sqref="A43:C43"/>
      <selection pane="bottomLeft" activeCell="AZ41" sqref="AZ41"/>
    </sheetView>
  </sheetViews>
  <sheetFormatPr defaultColWidth="9.140625" defaultRowHeight="15" x14ac:dyDescent="0.25"/>
  <cols>
    <col min="1" max="1" width="12.71093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570312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customHeight="1" thickBot="1" x14ac:dyDescent="0.3">
      <c r="A1" s="463" t="s">
        <v>147</v>
      </c>
      <c r="B1" s="463"/>
      <c r="C1" s="463"/>
      <c r="D1" s="463"/>
      <c r="E1" s="463"/>
      <c r="F1" s="463"/>
      <c r="G1" s="44"/>
      <c r="H1" s="464" t="s">
        <v>10</v>
      </c>
      <c r="I1" s="466" t="s">
        <v>199</v>
      </c>
      <c r="J1" s="461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61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53" t="s">
        <v>49</v>
      </c>
      <c r="AV1" s="455" t="s">
        <v>154</v>
      </c>
      <c r="AW1" s="455" t="s">
        <v>155</v>
      </c>
      <c r="AX1" s="457" t="s">
        <v>156</v>
      </c>
      <c r="AY1" s="45"/>
      <c r="AZ1" s="46"/>
    </row>
    <row r="2" spans="1:52" ht="64.5" customHeight="1" thickBot="1" x14ac:dyDescent="0.3">
      <c r="A2" s="468" t="s">
        <v>47</v>
      </c>
      <c r="B2" s="469"/>
      <c r="C2" s="469"/>
      <c r="D2" s="200" t="s">
        <v>48</v>
      </c>
      <c r="E2" s="200" t="s">
        <v>52</v>
      </c>
      <c r="F2" s="47" t="s">
        <v>53</v>
      </c>
      <c r="G2" s="48"/>
      <c r="H2" s="465"/>
      <c r="I2" s="46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54"/>
      <c r="AV2" s="456"/>
      <c r="AW2" s="456"/>
      <c r="AX2" s="458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33" si="0">IF($D$43=0, "---", SUM(AF3:AT3)+(SUM(J3:AE3)*1000)/($E$43/1000))</f>
        <v>0</v>
      </c>
      <c r="AV3" s="286">
        <f t="shared" ref="AV3:AV33" si="1">IF($AV$78=0,"ziadne akva",IF($D$43=0,"ziadny roztok",IF($D$47=0,"ziadna davka",((AU3*$D$47)/($AV$78*1000)))))</f>
        <v>0</v>
      </c>
      <c r="AW3" s="286" t="str">
        <f t="shared" ref="AW3:AW33" si="2">IF($AW$78=0,"ziadne akva",IF($D$43=0,"ziadny roztok",IF($D$49=0,"ziadna davka",((AU3*$D$49)/($AW$78*1000)))))</f>
        <v>ziadne akva</v>
      </c>
      <c r="AX3" s="279" t="str">
        <f t="shared" ref="AX3:AX27" si="3">IF($AX$78=0,"ziadne akva",IF($D$43=0,"ziadny roztok",IF($D$51=0,"ziadna davka",((AU3*$D$51)/($AX$78*1000)))))</f>
        <v>ziadne akva</v>
      </c>
      <c r="AY3" s="45"/>
      <c r="AZ3" s="46"/>
    </row>
    <row r="4" spans="1:52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0</v>
      </c>
      <c r="AV4" s="287">
        <f t="shared" si="1"/>
        <v>0</v>
      </c>
      <c r="AW4" s="287" t="str">
        <f t="shared" si="2"/>
        <v>ziadne akva</v>
      </c>
      <c r="AX4" s="277" t="str">
        <f t="shared" si="3"/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</v>
      </c>
      <c r="P5" s="116">
        <f>I5*E9*3</f>
        <v>2.8009932425482083</v>
      </c>
      <c r="Q5" s="116">
        <f>I5*E10*(4+7)</f>
        <v>0</v>
      </c>
      <c r="R5" s="116">
        <f>I5*E11*3</f>
        <v>0</v>
      </c>
      <c r="S5" s="116">
        <f>I5*E12*4</f>
        <v>0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11203.972970192834</v>
      </c>
      <c r="AV5" s="287">
        <f t="shared" si="1"/>
        <v>0.88920420398355815</v>
      </c>
      <c r="AW5" s="287" t="str">
        <f t="shared" si="2"/>
        <v>ziadne akva</v>
      </c>
      <c r="AX5" s="277" t="str">
        <f t="shared" si="3"/>
        <v>ziadne akva</v>
      </c>
      <c r="AY5" s="45"/>
      <c r="AZ5" s="46"/>
    </row>
    <row r="6" spans="1:52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0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0</v>
      </c>
      <c r="AV6" s="287">
        <f t="shared" si="1"/>
        <v>0</v>
      </c>
      <c r="AW6" s="287" t="str">
        <f t="shared" si="2"/>
        <v>ziadne akva</v>
      </c>
      <c r="AX6" s="277" t="str">
        <f t="shared" si="3"/>
        <v>ziadne akva</v>
      </c>
      <c r="AY6" s="45"/>
      <c r="AZ6" s="46"/>
    </row>
    <row r="7" spans="1:52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</v>
      </c>
      <c r="P7" s="116">
        <f>I7*E9</f>
        <v>2.281628771393982</v>
      </c>
      <c r="Q7" s="117"/>
      <c r="R7" s="117"/>
      <c r="S7" s="116">
        <f>I7*E12</f>
        <v>0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9126.5150855759275</v>
      </c>
      <c r="AV7" s="287">
        <f t="shared" si="1"/>
        <v>0.72432659409332756</v>
      </c>
      <c r="AW7" s="287" t="str">
        <f t="shared" si="2"/>
        <v>ziadne akva</v>
      </c>
      <c r="AX7" s="277" t="str">
        <f t="shared" si="3"/>
        <v>ziadne akva</v>
      </c>
      <c r="AY7" s="45"/>
      <c r="AZ7" s="46"/>
    </row>
    <row r="8" spans="1:52" x14ac:dyDescent="0.25">
      <c r="A8" s="444" t="str">
        <f>'pomocne tabulky'!A8:C8</f>
        <v>K2SO4</v>
      </c>
      <c r="B8" s="445"/>
      <c r="C8" s="445"/>
      <c r="D8" s="295"/>
      <c r="E8" s="110">
        <f>D8/'pomocne tabulky'!D8</f>
        <v>0</v>
      </c>
      <c r="F8" s="115">
        <f>IF(D8=0, 0, ((100/'pomocne tabulky'!$Q$23)/('pomocne tabulky'!G8/D8)))</f>
        <v>0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287">
        <f t="shared" si="1"/>
        <v>0</v>
      </c>
      <c r="AW8" s="287" t="str">
        <f t="shared" si="2"/>
        <v>ziadne akva</v>
      </c>
      <c r="AX8" s="277" t="str">
        <f t="shared" si="3"/>
        <v>ziadne akva</v>
      </c>
      <c r="AY8" s="45"/>
      <c r="AZ8" s="46"/>
    </row>
    <row r="9" spans="1:52" x14ac:dyDescent="0.25">
      <c r="A9" s="444" t="str">
        <f>'pomocne tabulky'!A9:C9</f>
        <v>KNO3</v>
      </c>
      <c r="B9" s="445"/>
      <c r="C9" s="445"/>
      <c r="D9" s="295">
        <v>5.9</v>
      </c>
      <c r="E9" s="110">
        <f>D9/'pomocne tabulky'!D9</f>
        <v>5.8356214244455175E-2</v>
      </c>
      <c r="F9" s="115">
        <f>IF(D9=0, 0, ((100/'pomocne tabulky'!$Q$23)/('pomocne tabulky'!G9/D9)))</f>
        <v>18.708302681311991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303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0</v>
      </c>
      <c r="AV9" s="287">
        <f t="shared" si="1"/>
        <v>0</v>
      </c>
      <c r="AW9" s="287" t="str">
        <f t="shared" si="2"/>
        <v>ziadne akva</v>
      </c>
      <c r="AX9" s="277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0</v>
      </c>
      <c r="AV10" s="287">
        <f t="shared" si="1"/>
        <v>0</v>
      </c>
      <c r="AW10" s="287" t="str">
        <f t="shared" si="2"/>
        <v>ziadne akva</v>
      </c>
      <c r="AX10" s="277" t="str">
        <f t="shared" si="3"/>
        <v>ziadne akva</v>
      </c>
      <c r="AY10" s="45"/>
      <c r="AZ10" s="46"/>
    </row>
    <row r="11" spans="1:52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0</v>
      </c>
      <c r="AV11" s="287">
        <f t="shared" si="1"/>
        <v>0</v>
      </c>
      <c r="AW11" s="287" t="str">
        <f t="shared" si="2"/>
        <v>ziadne akva</v>
      </c>
      <c r="AX11" s="277" t="str">
        <f t="shared" si="3"/>
        <v>ziadne akva</v>
      </c>
      <c r="AY11" s="45"/>
      <c r="AZ11" s="46"/>
    </row>
    <row r="12" spans="1:52" x14ac:dyDescent="0.25">
      <c r="A12" s="444" t="str">
        <f>'pomocne tabulky'!A12:C12</f>
        <v>KH2PO4</v>
      </c>
      <c r="B12" s="445"/>
      <c r="C12" s="445"/>
      <c r="D12" s="295"/>
      <c r="E12" s="110">
        <f>D12/'pomocne tabulky'!D12</f>
        <v>0</v>
      </c>
      <c r="F12" s="115">
        <f>IF(D12=0, 0, ((100/'pomocne tabulky'!$Q$23)/('pomocne tabulky'!G12/D12)))</f>
        <v>0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0</v>
      </c>
      <c r="AV12" s="287">
        <f t="shared" si="1"/>
        <v>0</v>
      </c>
      <c r="AW12" s="287" t="str">
        <f t="shared" si="2"/>
        <v>ziadne akva</v>
      </c>
      <c r="AX12" s="277" t="str">
        <f t="shared" si="3"/>
        <v>ziadne akva</v>
      </c>
      <c r="AY12" s="45"/>
      <c r="AZ12" s="46"/>
    </row>
    <row r="13" spans="1:52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0</v>
      </c>
      <c r="AV13" s="287">
        <f t="shared" si="1"/>
        <v>0</v>
      </c>
      <c r="AW13" s="287" t="str">
        <f t="shared" si="2"/>
        <v>ziadne akva</v>
      </c>
      <c r="AX13" s="277" t="str">
        <f t="shared" si="3"/>
        <v>ziadne akva</v>
      </c>
      <c r="AY13" s="45"/>
      <c r="AZ13" s="46"/>
    </row>
    <row r="14" spans="1:52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287">
        <f t="shared" si="1"/>
        <v>0</v>
      </c>
      <c r="AW14" s="287" t="str">
        <f t="shared" si="2"/>
        <v>ziadne akva</v>
      </c>
      <c r="AX14" s="277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0.81737798605781031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3269.5119442312412</v>
      </c>
      <c r="AV15" s="287">
        <f t="shared" si="1"/>
        <v>0.25948507493898737</v>
      </c>
      <c r="AW15" s="287" t="str">
        <f t="shared" si="2"/>
        <v>ziadne akva</v>
      </c>
      <c r="AX15" s="277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0</v>
      </c>
      <c r="AV16" s="287">
        <f t="shared" si="1"/>
        <v>0</v>
      </c>
      <c r="AW16" s="287" t="str">
        <f t="shared" si="2"/>
        <v>ziadne akva</v>
      </c>
      <c r="AX16" s="277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0</v>
      </c>
      <c r="AV17" s="287">
        <f t="shared" si="1"/>
        <v>0</v>
      </c>
      <c r="AW17" s="287" t="str">
        <f t="shared" si="2"/>
        <v>ziadne akva</v>
      </c>
      <c r="AX17" s="277" t="str">
        <f t="shared" si="3"/>
        <v>ziadne akva</v>
      </c>
      <c r="AY17" s="45"/>
      <c r="AZ17" s="46"/>
    </row>
    <row r="18" spans="1:52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0</v>
      </c>
      <c r="AV18" s="287">
        <f t="shared" si="1"/>
        <v>0</v>
      </c>
      <c r="AW18" s="287" t="str">
        <f t="shared" si="2"/>
        <v>ziadne akva</v>
      </c>
      <c r="AX18" s="277" t="str">
        <f t="shared" si="3"/>
        <v>ziadne akva</v>
      </c>
      <c r="AY18" s="45"/>
      <c r="AZ18" s="46"/>
    </row>
    <row r="19" spans="1:52" x14ac:dyDescent="0.25">
      <c r="A19" s="175" t="s">
        <v>330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287">
        <f t="shared" si="1"/>
        <v>0</v>
      </c>
      <c r="AW19" s="287" t="str">
        <f t="shared" si="2"/>
        <v>ziadne akva</v>
      </c>
      <c r="AX19" s="277" t="str">
        <f t="shared" si="3"/>
        <v>ziadne akva</v>
      </c>
      <c r="AY19" s="45"/>
      <c r="AZ19" s="46"/>
    </row>
    <row r="20" spans="1:52" x14ac:dyDescent="0.25">
      <c r="A20" s="175" t="s">
        <v>331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287">
        <f t="shared" si="1"/>
        <v>0</v>
      </c>
      <c r="AW20" s="287" t="str">
        <f t="shared" si="2"/>
        <v>ziadne akva</v>
      </c>
      <c r="AX20" s="277" t="str">
        <f t="shared" si="3"/>
        <v>ziadne akva</v>
      </c>
      <c r="AY20" s="45"/>
      <c r="AZ20" s="46"/>
    </row>
    <row r="21" spans="1:52" x14ac:dyDescent="0.25">
      <c r="A21" s="175" t="s">
        <v>330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287">
        <f t="shared" si="1"/>
        <v>0</v>
      </c>
      <c r="AW21" s="287" t="str">
        <f t="shared" si="2"/>
        <v>ziadne akva</v>
      </c>
      <c r="AX21" s="277" t="str">
        <f t="shared" si="3"/>
        <v>ziadne akva</v>
      </c>
      <c r="AY21" s="45"/>
      <c r="AZ21" s="46"/>
    </row>
    <row r="22" spans="1:52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si="0"/>
        <v>0</v>
      </c>
      <c r="AV22" s="287">
        <f t="shared" si="1"/>
        <v>0</v>
      </c>
      <c r="AW22" s="287" t="str">
        <f t="shared" si="2"/>
        <v>ziadne akva</v>
      </c>
      <c r="AX22" s="277" t="str">
        <f t="shared" si="3"/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0"/>
        <v>0</v>
      </c>
      <c r="AV23" s="287">
        <f t="shared" si="1"/>
        <v>0</v>
      </c>
      <c r="AW23" s="287" t="str">
        <f t="shared" si="2"/>
        <v>ziadne akva</v>
      </c>
      <c r="AX23" s="277" t="str">
        <f t="shared" si="3"/>
        <v>ziadne akva</v>
      </c>
      <c r="AY23" s="45"/>
      <c r="AZ23" s="46"/>
    </row>
    <row r="24" spans="1:52" ht="15.7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0"/>
        <v>0</v>
      </c>
      <c r="AV24" s="287">
        <f t="shared" si="1"/>
        <v>0</v>
      </c>
      <c r="AW24" s="287" t="str">
        <f t="shared" si="2"/>
        <v>ziadne akva</v>
      </c>
      <c r="AX24" s="277" t="str">
        <f t="shared" si="3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0"/>
        <v>0</v>
      </c>
      <c r="AV25" s="287">
        <f t="shared" si="1"/>
        <v>0</v>
      </c>
      <c r="AW25" s="287" t="str">
        <f t="shared" si="2"/>
        <v>ziadne akva</v>
      </c>
      <c r="AX25" s="277" t="str">
        <f t="shared" si="3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0"/>
        <v>0</v>
      </c>
      <c r="AV26" s="287">
        <f t="shared" si="1"/>
        <v>0</v>
      </c>
      <c r="AW26" s="287" t="str">
        <f t="shared" si="2"/>
        <v>ziadne akva</v>
      </c>
      <c r="AX26" s="277" t="str">
        <f t="shared" si="3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0"/>
        <v>0</v>
      </c>
      <c r="AV27" s="287">
        <f t="shared" si="1"/>
        <v>0</v>
      </c>
      <c r="AW27" s="287" t="str">
        <f t="shared" si="2"/>
        <v>ziadne akva</v>
      </c>
      <c r="AX27" s="277" t="str">
        <f t="shared" si="3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0"/>
        <v>0</v>
      </c>
      <c r="AV28" s="288">
        <f t="shared" si="1"/>
        <v>0</v>
      </c>
      <c r="AW28" s="288" t="str">
        <f t="shared" si="2"/>
        <v>ziadne akva</v>
      </c>
      <c r="AX28" s="289" t="str">
        <f t="shared" ref="AX28:AX33" si="4">IF($AX$78=0,"ziadne akva",IF($D$43=0,"ziadny roztok",IF($D$51=0,"ziadna davka",((AU27*$D$51)/($AX$78*1000)))))</f>
        <v>ziadne akva</v>
      </c>
      <c r="AY28" s="45"/>
      <c r="AZ28" s="46"/>
    </row>
    <row r="29" spans="1:52" ht="15.7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0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0"/>
        <v>0</v>
      </c>
      <c r="AV29" s="290">
        <f t="shared" si="1"/>
        <v>0</v>
      </c>
      <c r="AW29" s="290" t="str">
        <f t="shared" si="2"/>
        <v>ziadne akva</v>
      </c>
      <c r="AX29" s="278" t="str">
        <f t="shared" si="4"/>
        <v>ziadne akva</v>
      </c>
      <c r="AY29" s="45"/>
      <c r="AZ29" s="46"/>
    </row>
    <row r="30" spans="1:52" ht="15.7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0"/>
        <v>0</v>
      </c>
      <c r="AV30" s="287">
        <f t="shared" si="1"/>
        <v>0</v>
      </c>
      <c r="AW30" s="287" t="str">
        <f t="shared" si="2"/>
        <v>ziadne akva</v>
      </c>
      <c r="AX30" s="277" t="str">
        <f t="shared" si="4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3.6183712286060188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0"/>
        <v>14473.484914424074</v>
      </c>
      <c r="AV31" s="287">
        <f t="shared" si="1"/>
        <v>1.1486892789225456</v>
      </c>
      <c r="AW31" s="287" t="str">
        <f t="shared" si="2"/>
        <v>ziadne akva</v>
      </c>
      <c r="AX31" s="277" t="str">
        <f t="shared" si="4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0"/>
        <v>0</v>
      </c>
      <c r="AV32" s="287">
        <f t="shared" si="1"/>
        <v>0</v>
      </c>
      <c r="AW32" s="287" t="str">
        <f t="shared" si="2"/>
        <v>ziadne akva</v>
      </c>
      <c r="AX32" s="277" t="str">
        <f t="shared" si="4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0"/>
        <v>0</v>
      </c>
      <c r="AV33" s="287">
        <f t="shared" si="1"/>
        <v>0</v>
      </c>
      <c r="AW33" s="287" t="str">
        <f t="shared" si="2"/>
        <v>ziadne akva</v>
      </c>
      <c r="AX33" s="277" t="str">
        <f t="shared" si="4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291" t="s">
        <v>56</v>
      </c>
      <c r="AW34" s="291" t="s">
        <v>56</v>
      </c>
      <c r="AX34" s="292" t="s">
        <v>56</v>
      </c>
      <c r="AY34" s="45"/>
      <c r="AZ34" s="46"/>
    </row>
    <row r="35" spans="1:52" ht="15" customHeight="1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293" t="s">
        <v>56</v>
      </c>
      <c r="AW35" s="293" t="s">
        <v>56</v>
      </c>
      <c r="AX35" s="294" t="s">
        <v>56</v>
      </c>
      <c r="AY35" s="45"/>
      <c r="AZ35" s="46"/>
    </row>
    <row r="36" spans="1:52" ht="15.75" customHeight="1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ht="15" customHeight="1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ht="15" customHeight="1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customHeight="1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5.9</v>
      </c>
      <c r="E40" s="112" t="s">
        <v>56</v>
      </c>
      <c r="F40" s="126">
        <f>SUM(F3:F21)</f>
        <v>18.708302681311991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customHeight="1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>
        <v>250</v>
      </c>
      <c r="E43" s="442">
        <f>E44/'pomocne tabulky'!Q23</f>
        <v>250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D44+SUM(J34:AE34)</f>
        <v>249.5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13.849354547917102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ht="15" customHeight="1" x14ac:dyDescent="0.25">
      <c r="A47" s="439" t="s">
        <v>135</v>
      </c>
      <c r="B47" s="439"/>
      <c r="C47" s="439"/>
      <c r="D47" s="440">
        <v>5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ht="15" customHeight="1" x14ac:dyDescent="0.25">
      <c r="A49" s="439" t="s">
        <v>136</v>
      </c>
      <c r="B49" s="439"/>
      <c r="C49" s="439"/>
      <c r="D49" s="440">
        <v>5</v>
      </c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ht="15" customHeight="1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23:C23"/>
    <mergeCell ref="A2:C2"/>
    <mergeCell ref="A3:C3"/>
    <mergeCell ref="A4:C4"/>
    <mergeCell ref="A35:C35"/>
    <mergeCell ref="A36:C36"/>
    <mergeCell ref="A37:C37"/>
    <mergeCell ref="A25:C25"/>
    <mergeCell ref="A28:C28"/>
    <mergeCell ref="A29:C29"/>
    <mergeCell ref="A27:C27"/>
    <mergeCell ref="A30:C30"/>
    <mergeCell ref="A31:C31"/>
    <mergeCell ref="A32:C32"/>
    <mergeCell ref="A33:C33"/>
    <mergeCell ref="A7:C7"/>
    <mergeCell ref="A1:F1"/>
    <mergeCell ref="H1:H2"/>
    <mergeCell ref="I1:I2"/>
    <mergeCell ref="J1:AE1"/>
    <mergeCell ref="A5:C5"/>
    <mergeCell ref="A6:C6"/>
    <mergeCell ref="AU1:AU2"/>
    <mergeCell ref="AV1:AV2"/>
    <mergeCell ref="AW1:AW2"/>
    <mergeCell ref="AX1:AX2"/>
    <mergeCell ref="A26:C26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F1:AT1"/>
    <mergeCell ref="A17:C17"/>
    <mergeCell ref="A38:C38"/>
    <mergeCell ref="A39:C39"/>
    <mergeCell ref="A40:C40"/>
    <mergeCell ref="A42:C42"/>
    <mergeCell ref="A34:C34"/>
    <mergeCell ref="E42:F42"/>
    <mergeCell ref="A43:C43"/>
    <mergeCell ref="E43:F43"/>
    <mergeCell ref="A44:C44"/>
    <mergeCell ref="E44:F44"/>
    <mergeCell ref="A51:C52"/>
    <mergeCell ref="D51:D52"/>
    <mergeCell ref="A45:C45"/>
    <mergeCell ref="E45:F45"/>
    <mergeCell ref="A47:C48"/>
    <mergeCell ref="D47:D48"/>
    <mergeCell ref="A49:C50"/>
    <mergeCell ref="D49:D50"/>
  </mergeCells>
  <conditionalFormatting sqref="AV1:AV2 AV77 A47:C48">
    <cfRule type="expression" dxfId="119" priority="18">
      <formula>$AV$78</formula>
    </cfRule>
  </conditionalFormatting>
  <conditionalFormatting sqref="AW1:AW2 AW77 A49:C50">
    <cfRule type="expression" dxfId="118" priority="17">
      <formula>$AW$78</formula>
    </cfRule>
  </conditionalFormatting>
  <conditionalFormatting sqref="AX77 AX1:AX2 A51:C52">
    <cfRule type="expression" dxfId="117" priority="16">
      <formula>$AX$78</formula>
    </cfRule>
  </conditionalFormatting>
  <conditionalFormatting sqref="AX3:AX35 D51:D52">
    <cfRule type="expression" dxfId="116" priority="15">
      <formula>($AX$78=0)</formula>
    </cfRule>
  </conditionalFormatting>
  <conditionalFormatting sqref="AW3:AW35 D49:D50">
    <cfRule type="expression" dxfId="115" priority="14">
      <formula>($AW$78=0)</formula>
    </cfRule>
  </conditionalFormatting>
  <conditionalFormatting sqref="AV22:AV35 AV3:AW21 D47:D48">
    <cfRule type="expression" dxfId="114" priority="13">
      <formula>($AV$78=0)</formula>
    </cfRule>
  </conditionalFormatting>
  <conditionalFormatting sqref="AW22:AW33">
    <cfRule type="expression" dxfId="113" priority="6">
      <formula>($AV$78=0)</formula>
    </cfRule>
  </conditionalFormatting>
  <conditionalFormatting sqref="AW22:AW33">
    <cfRule type="expression" dxfId="112" priority="5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35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78"/>
  <sheetViews>
    <sheetView zoomScale="85" zoomScaleNormal="85" workbookViewId="0">
      <pane ySplit="2" topLeftCell="A3" activePane="bottomLeft" state="frozen"/>
      <selection activeCell="A43" sqref="A43:C43"/>
      <selection pane="bottomLeft" activeCell="D13" sqref="D13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" customHeight="1" thickBot="1" x14ac:dyDescent="0.3">
      <c r="A1" s="463" t="s">
        <v>147</v>
      </c>
      <c r="B1" s="463"/>
      <c r="C1" s="463"/>
      <c r="D1" s="463"/>
      <c r="E1" s="463"/>
      <c r="F1" s="463"/>
      <c r="G1" s="44"/>
      <c r="H1" s="464" t="s">
        <v>10</v>
      </c>
      <c r="I1" s="466" t="s">
        <v>199</v>
      </c>
      <c r="J1" s="461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61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53" t="s">
        <v>49</v>
      </c>
      <c r="AV1" s="455" t="s">
        <v>154</v>
      </c>
      <c r="AW1" s="455" t="s">
        <v>155</v>
      </c>
      <c r="AX1" s="457" t="s">
        <v>156</v>
      </c>
      <c r="AY1" s="45"/>
      <c r="AZ1" s="46"/>
    </row>
    <row r="2" spans="1:52" ht="63" customHeight="1" thickBot="1" x14ac:dyDescent="0.3">
      <c r="A2" s="468" t="s">
        <v>47</v>
      </c>
      <c r="B2" s="469"/>
      <c r="C2" s="469"/>
      <c r="D2" s="108" t="s">
        <v>48</v>
      </c>
      <c r="E2" s="108" t="s">
        <v>52</v>
      </c>
      <c r="F2" s="47" t="s">
        <v>53</v>
      </c>
      <c r="G2" s="48"/>
      <c r="H2" s="465"/>
      <c r="I2" s="46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54"/>
      <c r="AV2" s="456"/>
      <c r="AW2" s="456"/>
      <c r="AX2" s="458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21" si="0">IF($D$43=0, "---", SUM(AF3:AT3)+(SUM(J3:AE3)*1000)/($E$43/1000))</f>
        <v>0</v>
      </c>
      <c r="AV3" s="161">
        <f t="shared" ref="AV3:AV21" si="1">IF($AV$78=0,"ziadne akva",IF($D$43=0,"ziadny roztok",IF($D$47=0,"ziadna davka",((AU3*$D$47)/($AV$78*1000)))))</f>
        <v>0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0</v>
      </c>
      <c r="AV4" s="163">
        <f t="shared" si="1"/>
        <v>0</v>
      </c>
      <c r="AW4" s="163" t="str">
        <f t="shared" ref="AW4:AW21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</v>
      </c>
      <c r="P5" s="116">
        <f>I5*E9*3</f>
        <v>0</v>
      </c>
      <c r="Q5" s="116">
        <f>I5*E10*(4+7)</f>
        <v>0</v>
      </c>
      <c r="R5" s="116">
        <f>I5*E11*3</f>
        <v>0</v>
      </c>
      <c r="S5" s="116">
        <f>I5*E12*4</f>
        <v>0.24924564358564472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996.98257434257891</v>
      </c>
      <c r="AV5" s="163">
        <f t="shared" si="1"/>
        <v>7.9125601138299903E-2</v>
      </c>
      <c r="AW5" s="163" t="str">
        <f t="shared" si="2"/>
        <v>ziadne akva</v>
      </c>
      <c r="AX5" s="164" t="str">
        <f t="shared" ref="AX5:AX21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7.8510648522980477E-3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31.404259409192189</v>
      </c>
      <c r="AV6" s="163">
        <f t="shared" si="1"/>
        <v>2.4924015404120784E-3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</v>
      </c>
      <c r="P7" s="116">
        <f>I7*E9</f>
        <v>0</v>
      </c>
      <c r="Q7" s="117"/>
      <c r="R7" s="117"/>
      <c r="S7" s="116">
        <f>I7*E12</f>
        <v>0.15227260001319759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609.09040005279041</v>
      </c>
      <c r="AV7" s="163">
        <f t="shared" si="1"/>
        <v>4.834050794069765E-2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/>
      <c r="E8" s="110">
        <f>D8/'pomocne tabulky'!D8</f>
        <v>0</v>
      </c>
      <c r="F8" s="115">
        <f>IF(D8=0, 0, ((100/'pomocne tabulky'!$Q$23)/('pomocne tabulky'!G8/D8)))</f>
        <v>0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163">
        <f t="shared" si="1"/>
        <v>0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/>
      <c r="E9" s="110">
        <f>D9/'pomocne tabulky'!D9</f>
        <v>0</v>
      </c>
      <c r="F9" s="115">
        <f>IF(D9=0, 0, ((100/'pomocne tabulky'!$Q$23)/('pomocne tabulky'!G9/D9)))</f>
        <v>0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190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0</v>
      </c>
      <c r="AV9" s="163">
        <f t="shared" si="1"/>
        <v>0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0</v>
      </c>
      <c r="AV10" s="163">
        <f t="shared" si="1"/>
        <v>0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0.12063069154885962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482.52276619543846</v>
      </c>
      <c r="AV11" s="163">
        <f t="shared" si="1"/>
        <v>3.8295457634558605E-2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>
        <v>0.53</v>
      </c>
      <c r="E12" s="110">
        <f>D12/'pomocne tabulky'!D12</f>
        <v>3.8946092288717816E-3</v>
      </c>
      <c r="F12" s="115">
        <f>IF(D12=0, 0, ((100/'pomocne tabulky'!$Q$23)/('pomocne tabulky'!G12/D12)))</f>
        <v>2.3602761077710981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0</v>
      </c>
      <c r="AV12" s="163">
        <f t="shared" si="1"/>
        <v>0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0</v>
      </c>
      <c r="AV13" s="163">
        <f t="shared" si="1"/>
        <v>0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163">
        <f t="shared" si="1"/>
        <v>0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0</v>
      </c>
      <c r="AV15" s="163">
        <f t="shared" si="1"/>
        <v>0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0</v>
      </c>
      <c r="AV16" s="163">
        <f t="shared" si="1"/>
        <v>0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0</v>
      </c>
      <c r="AV17" s="163">
        <f t="shared" si="1"/>
        <v>0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0</v>
      </c>
      <c r="AV18" s="163">
        <f t="shared" si="1"/>
        <v>0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163">
        <f t="shared" si="1"/>
        <v>0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163">
        <f t="shared" si="1"/>
        <v>0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163">
        <f t="shared" si="1"/>
        <v>0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ref="AU22:AU33" si="4">IF($D$43=0, "---", SUM(AF22:AT22)+(SUM(J22:AE22)*1000)/($E$43/1000))</f>
        <v>0</v>
      </c>
      <c r="AV22" s="163">
        <f t="shared" ref="AV22:AV33" si="5">IF($AV$78=0,"ziadne akva",IF($D$43=0,"ziadny roztok",IF($D$47=0,"ziadna davka",((AU22*$D$47)/($AV$78*1000)))))</f>
        <v>0</v>
      </c>
      <c r="AW22" s="163" t="str">
        <f t="shared" ref="AW22:AW33" si="6">IF($AW$78=0,"ziadne akva",IF($D$43=0,"ziadny roztok",IF($D$49=0,"ziadna davka",((AU22*$D$49)/($AW$78*1000)))))</f>
        <v>ziadne akva</v>
      </c>
      <c r="AX22" s="164" t="str">
        <f t="shared" ref="AX22:AX27" si="7">IF($AX$78=0,"ziadne akva",IF($D$43=0,"ziadny roztok",IF($D$51=0,"ziadna davka",((AU22*$D$51)/($AX$78*1000)))))</f>
        <v>ziadne akva</v>
      </c>
      <c r="AY22" s="45"/>
      <c r="AZ22" s="46"/>
    </row>
    <row r="23" spans="1:52" ht="15.7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4"/>
        <v>0</v>
      </c>
      <c r="AV23" s="163">
        <f t="shared" si="5"/>
        <v>0</v>
      </c>
      <c r="AW23" s="163" t="str">
        <f t="shared" si="6"/>
        <v>ziadne akva</v>
      </c>
      <c r="AX23" s="164" t="str">
        <f t="shared" si="7"/>
        <v>ziadne akva</v>
      </c>
      <c r="AY23" s="45"/>
      <c r="AZ23" s="46"/>
    </row>
    <row r="24" spans="1:52" ht="15.7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4"/>
        <v>0</v>
      </c>
      <c r="AV24" s="163">
        <f t="shared" si="5"/>
        <v>0</v>
      </c>
      <c r="AW24" s="163" t="str">
        <f t="shared" si="6"/>
        <v>ziadne akva</v>
      </c>
      <c r="AX24" s="164" t="str">
        <f t="shared" si="7"/>
        <v>ziadne akva</v>
      </c>
      <c r="AY24" s="45"/>
      <c r="AZ24" s="46"/>
    </row>
    <row r="25" spans="1:52" ht="15.7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4"/>
        <v>0</v>
      </c>
      <c r="AV25" s="163">
        <f t="shared" si="5"/>
        <v>0</v>
      </c>
      <c r="AW25" s="163" t="str">
        <f t="shared" si="6"/>
        <v>ziadne akva</v>
      </c>
      <c r="AX25" s="164" t="str">
        <f t="shared" si="7"/>
        <v>ziadne akva</v>
      </c>
      <c r="AY25" s="45"/>
      <c r="AZ25" s="46"/>
    </row>
    <row r="26" spans="1:52" ht="15.7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4"/>
        <v>0</v>
      </c>
      <c r="AV26" s="163">
        <f t="shared" si="5"/>
        <v>0</v>
      </c>
      <c r="AW26" s="163" t="str">
        <f t="shared" si="6"/>
        <v>ziadne akva</v>
      </c>
      <c r="AX26" s="164" t="str">
        <f t="shared" si="7"/>
        <v>ziadne akva</v>
      </c>
      <c r="AY26" s="45"/>
      <c r="AZ26" s="46"/>
    </row>
    <row r="27" spans="1:52" ht="15.7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4"/>
        <v>0</v>
      </c>
      <c r="AV27" s="163">
        <f t="shared" si="5"/>
        <v>0</v>
      </c>
      <c r="AW27" s="163" t="str">
        <f t="shared" si="6"/>
        <v>ziadne akva</v>
      </c>
      <c r="AX27" s="164" t="str">
        <f t="shared" si="7"/>
        <v>ziadne akva</v>
      </c>
      <c r="AY27" s="45"/>
      <c r="AZ27" s="46"/>
    </row>
    <row r="28" spans="1:52" ht="15.7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4"/>
        <v>0</v>
      </c>
      <c r="AV28" s="165">
        <f t="shared" si="5"/>
        <v>0</v>
      </c>
      <c r="AW28" s="165" t="str">
        <f t="shared" si="6"/>
        <v>ziadne akva</v>
      </c>
      <c r="AX28" s="166" t="str">
        <f t="shared" ref="AX28:AX33" si="8">IF($AX$78=0,"ziadne akva",IF($D$43=0,"ziadny roztok",IF($D$51=0,"ziadna davka",((AU27*$D$51)/($AX$78*1000)))))</f>
        <v>ziadne akva</v>
      </c>
      <c r="AY28" s="45"/>
      <c r="AZ28" s="46"/>
    </row>
    <row r="29" spans="1:52" ht="15.7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0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4"/>
        <v>0</v>
      </c>
      <c r="AV29" s="167">
        <f t="shared" si="5"/>
        <v>0</v>
      </c>
      <c r="AW29" s="167" t="str">
        <f t="shared" si="6"/>
        <v>ziadne akva</v>
      </c>
      <c r="AX29" s="168" t="str">
        <f t="shared" si="8"/>
        <v>ziadne akva</v>
      </c>
      <c r="AY29" s="45"/>
      <c r="AZ29" s="46"/>
    </row>
    <row r="30" spans="1:52" ht="15.7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0.36987633513450441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4"/>
        <v>1479.5053405380177</v>
      </c>
      <c r="AV30" s="163">
        <f t="shared" si="5"/>
        <v>0.11742105877285855</v>
      </c>
      <c r="AW30" s="163" t="str">
        <f t="shared" si="6"/>
        <v>ziadne akva</v>
      </c>
      <c r="AX30" s="164" t="str">
        <f t="shared" si="8"/>
        <v>ziadne akva</v>
      </c>
      <c r="AY30" s="45"/>
      <c r="AZ30" s="46"/>
    </row>
    <row r="31" spans="1:52" ht="15.7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0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4"/>
        <v>0</v>
      </c>
      <c r="AV31" s="163">
        <f t="shared" si="5"/>
        <v>0</v>
      </c>
      <c r="AW31" s="163" t="str">
        <f t="shared" si="6"/>
        <v>ziadne akva</v>
      </c>
      <c r="AX31" s="164" t="str">
        <f t="shared" si="8"/>
        <v>ziadne akva</v>
      </c>
      <c r="AY31" s="45"/>
      <c r="AZ31" s="46"/>
    </row>
    <row r="32" spans="1:52" ht="15.7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4"/>
        <v>0</v>
      </c>
      <c r="AV32" s="163">
        <f t="shared" si="5"/>
        <v>0</v>
      </c>
      <c r="AW32" s="163" t="str">
        <f t="shared" si="6"/>
        <v>ziadne akva</v>
      </c>
      <c r="AX32" s="164" t="str">
        <f t="shared" si="8"/>
        <v>ziadne akva</v>
      </c>
      <c r="AY32" s="45"/>
      <c r="AZ32" s="46"/>
    </row>
    <row r="33" spans="1:52" ht="15.7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4"/>
        <v>0</v>
      </c>
      <c r="AV33" s="163">
        <f t="shared" si="5"/>
        <v>0</v>
      </c>
      <c r="AW33" s="163" t="str">
        <f t="shared" si="6"/>
        <v>ziadne akva</v>
      </c>
      <c r="AX33" s="164" t="str">
        <f t="shared" si="8"/>
        <v>ziadne akva</v>
      </c>
      <c r="AY33" s="45"/>
      <c r="AZ33" s="46"/>
    </row>
    <row r="34" spans="1:52" ht="15.7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.75" customHeight="1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ht="15.75" customHeight="1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ht="15.75" customHeight="1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ht="15.75" customHeight="1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customHeight="1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customHeight="1" thickBot="1" x14ac:dyDescent="0.3">
      <c r="A40" s="448" t="s">
        <v>117</v>
      </c>
      <c r="B40" s="449"/>
      <c r="C40" s="449"/>
      <c r="D40" s="125">
        <f>SUM(D3:D24)</f>
        <v>0.53</v>
      </c>
      <c r="E40" s="112" t="s">
        <v>56</v>
      </c>
      <c r="F40" s="126">
        <f>SUM(F3:F21)</f>
        <v>2.3602761077710981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ht="15.75" customHeight="1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7.25" customHeight="1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ht="15.75" customHeight="1" x14ac:dyDescent="0.25">
      <c r="A43" s="441" t="s">
        <v>69</v>
      </c>
      <c r="B43" s="441"/>
      <c r="C43" s="441"/>
      <c r="D43" s="295">
        <v>250</v>
      </c>
      <c r="E43" s="442">
        <f>E44/'pomocne tabulky'!Q23</f>
        <v>250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ht="15.75" customHeight="1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D44+SUM(J34:AE34)</f>
        <v>249.5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ht="15.75" customHeight="1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13.849354547917102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ht="15.75" customHeight="1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ht="15" customHeight="1" x14ac:dyDescent="0.25">
      <c r="A47" s="439" t="s">
        <v>135</v>
      </c>
      <c r="B47" s="439"/>
      <c r="C47" s="439"/>
      <c r="D47" s="440">
        <v>5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>
        <v>5</v>
      </c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ht="15" customHeight="1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ht="15" customHeight="1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ht="15" customHeight="1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51:C52"/>
    <mergeCell ref="D51:D52"/>
    <mergeCell ref="A5:C5"/>
    <mergeCell ref="A6:C6"/>
    <mergeCell ref="A42:C42"/>
    <mergeCell ref="A34:C34"/>
    <mergeCell ref="A35:C35"/>
    <mergeCell ref="A31:C31"/>
    <mergeCell ref="A32:C32"/>
    <mergeCell ref="A33:C33"/>
    <mergeCell ref="A38:C38"/>
    <mergeCell ref="A36:C36"/>
    <mergeCell ref="A37:C37"/>
    <mergeCell ref="A25:C25"/>
    <mergeCell ref="A26:C26"/>
    <mergeCell ref="AW1:AW2"/>
    <mergeCell ref="A47:C48"/>
    <mergeCell ref="D47:D48"/>
    <mergeCell ref="A49:C50"/>
    <mergeCell ref="D49:D50"/>
    <mergeCell ref="A12:C12"/>
    <mergeCell ref="A13:C13"/>
    <mergeCell ref="A14:C14"/>
    <mergeCell ref="A15:C15"/>
    <mergeCell ref="A23:C23"/>
    <mergeCell ref="A2:C2"/>
    <mergeCell ref="A3:C3"/>
    <mergeCell ref="AU1:AU2"/>
    <mergeCell ref="AV1:AV2"/>
    <mergeCell ref="J1:AE1"/>
    <mergeCell ref="A7:C7"/>
    <mergeCell ref="AX1:AX2"/>
    <mergeCell ref="A16:C16"/>
    <mergeCell ref="A17:C17"/>
    <mergeCell ref="A24:C24"/>
    <mergeCell ref="A45:C45"/>
    <mergeCell ref="E45:F45"/>
    <mergeCell ref="A40:C40"/>
    <mergeCell ref="E42:F42"/>
    <mergeCell ref="A43:C43"/>
    <mergeCell ref="E43:F43"/>
    <mergeCell ref="A44:C44"/>
    <mergeCell ref="E44:F44"/>
    <mergeCell ref="A8:C8"/>
    <mergeCell ref="A9:C9"/>
    <mergeCell ref="A10:C10"/>
    <mergeCell ref="A11:C11"/>
    <mergeCell ref="A1:F1"/>
    <mergeCell ref="H1:H2"/>
    <mergeCell ref="I1:I2"/>
    <mergeCell ref="AF1:AT1"/>
    <mergeCell ref="A4:C4"/>
    <mergeCell ref="A39:C39"/>
    <mergeCell ref="A27:C27"/>
    <mergeCell ref="A28:C28"/>
    <mergeCell ref="A29:C29"/>
    <mergeCell ref="A30:C30"/>
  </mergeCells>
  <conditionalFormatting sqref="A47:C48 AV1:AV2 AV77">
    <cfRule type="expression" dxfId="111" priority="96">
      <formula>$AV$78</formula>
    </cfRule>
  </conditionalFormatting>
  <conditionalFormatting sqref="A49:C50 AW1:AW2 AW77">
    <cfRule type="expression" dxfId="110" priority="95">
      <formula>$AW$78</formula>
    </cfRule>
  </conditionalFormatting>
  <conditionalFormatting sqref="A51:C52 AX77 AX1:AX2">
    <cfRule type="expression" dxfId="109" priority="94">
      <formula>$AX$78</formula>
    </cfRule>
  </conditionalFormatting>
  <conditionalFormatting sqref="AX3:AX35 D51:D52">
    <cfRule type="expression" dxfId="108" priority="93">
      <formula>($AX$78=0)</formula>
    </cfRule>
  </conditionalFormatting>
  <conditionalFormatting sqref="AW3:AW35 D49:D50">
    <cfRule type="expression" dxfId="107" priority="92">
      <formula>($AW$78=0)</formula>
    </cfRule>
  </conditionalFormatting>
  <conditionalFormatting sqref="AV22:AV35 AV3:AW21 D47:D48">
    <cfRule type="expression" dxfId="106" priority="91">
      <formula>($AV$78=0)</formula>
    </cfRule>
  </conditionalFormatting>
  <conditionalFormatting sqref="AX22:AX35">
    <cfRule type="expression" dxfId="105" priority="15">
      <formula>($AX$78=0)</formula>
    </cfRule>
  </conditionalFormatting>
  <conditionalFormatting sqref="AW22:AW35">
    <cfRule type="expression" dxfId="104" priority="14">
      <formula>($AW$78=0)</formula>
    </cfRule>
  </conditionalFormatting>
  <conditionalFormatting sqref="AX22:AX33">
    <cfRule type="expression" dxfId="103" priority="13">
      <formula>($AX$78=0)</formula>
    </cfRule>
  </conditionalFormatting>
  <conditionalFormatting sqref="AW22:AW33">
    <cfRule type="expression" dxfId="102" priority="12">
      <formula>($AW$78=0)</formula>
    </cfRule>
  </conditionalFormatting>
  <conditionalFormatting sqref="AX22:AX33">
    <cfRule type="expression" dxfId="101" priority="11">
      <formula>($AX$78=0)</formula>
    </cfRule>
  </conditionalFormatting>
  <conditionalFormatting sqref="AW22:AW33">
    <cfRule type="expression" dxfId="100" priority="10">
      <formula>($AW$78=0)</formula>
    </cfRule>
  </conditionalFormatting>
  <conditionalFormatting sqref="AW22:AW33">
    <cfRule type="expression" dxfId="99" priority="9">
      <formula>($AV$78=0)</formula>
    </cfRule>
  </conditionalFormatting>
  <conditionalFormatting sqref="AW22:AW33">
    <cfRule type="expression" dxfId="98" priority="8">
      <formula>($AV$78=0)</formula>
    </cfRule>
  </conditionalFormatting>
  <conditionalFormatting sqref="D47:D48">
    <cfRule type="expression" dxfId="97" priority="1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5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78"/>
  <sheetViews>
    <sheetView zoomScale="85" zoomScaleNormal="85" workbookViewId="0">
      <pane ySplit="2" topLeftCell="A3" activePane="bottomLeft" state="frozen"/>
      <selection activeCell="A43" sqref="A43:C43"/>
      <selection pane="bottomLeft" activeCell="D9" sqref="D9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customHeight="1" thickBot="1" x14ac:dyDescent="0.3">
      <c r="A1" s="463" t="s">
        <v>147</v>
      </c>
      <c r="B1" s="463"/>
      <c r="C1" s="463"/>
      <c r="D1" s="463"/>
      <c r="E1" s="463"/>
      <c r="F1" s="463"/>
      <c r="G1" s="44"/>
      <c r="H1" s="484" t="s">
        <v>10</v>
      </c>
      <c r="I1" s="486" t="s">
        <v>199</v>
      </c>
      <c r="J1" s="488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88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78" t="s">
        <v>49</v>
      </c>
      <c r="AV1" s="480" t="s">
        <v>154</v>
      </c>
      <c r="AW1" s="480" t="s">
        <v>155</v>
      </c>
      <c r="AX1" s="482" t="s">
        <v>156</v>
      </c>
      <c r="AY1" s="45"/>
      <c r="AZ1" s="46"/>
    </row>
    <row r="2" spans="1:52" ht="64.5" customHeight="1" thickBot="1" x14ac:dyDescent="0.3">
      <c r="A2" s="468" t="s">
        <v>47</v>
      </c>
      <c r="B2" s="469"/>
      <c r="C2" s="469"/>
      <c r="D2" s="200" t="s">
        <v>48</v>
      </c>
      <c r="E2" s="200" t="s">
        <v>52</v>
      </c>
      <c r="F2" s="47" t="s">
        <v>53</v>
      </c>
      <c r="G2" s="48"/>
      <c r="H2" s="485"/>
      <c r="I2" s="48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79"/>
      <c r="AV2" s="481"/>
      <c r="AW2" s="481"/>
      <c r="AX2" s="483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21" si="0">IF($D$43=0, "---", SUM(AF3:AT3)+(SUM(J3:AE3)*1000)/($E$43/1000))</f>
        <v>0</v>
      </c>
      <c r="AV3" s="161">
        <f t="shared" ref="AV3:AV21" si="1">IF($AV$78=0,"ziadne akva",IF($D$43=0,"ziadny roztok",IF($D$47=0,"ziadna davka",((AU3*$D$47)/($AV$78*1000)))))</f>
        <v>0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0.48387815042621646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1935.5126017048658</v>
      </c>
      <c r="AV4" s="163">
        <f t="shared" si="1"/>
        <v>0.15361211124641791</v>
      </c>
      <c r="AW4" s="163" t="str">
        <f t="shared" ref="AW4:AW21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0.96590893074600215</v>
      </c>
      <c r="P5" s="116">
        <f>I5*E9*3</f>
        <v>0</v>
      </c>
      <c r="Q5" s="116">
        <f>I5*E10*(4+7)</f>
        <v>0</v>
      </c>
      <c r="R5" s="116">
        <f>I5*E11*3</f>
        <v>0</v>
      </c>
      <c r="S5" s="116">
        <f>I5*E12*4</f>
        <v>0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3863.6357229840087</v>
      </c>
      <c r="AV5" s="163">
        <f t="shared" si="1"/>
        <v>0.30663775579238162</v>
      </c>
      <c r="AW5" s="163" t="str">
        <f t="shared" si="2"/>
        <v>ziadne akva</v>
      </c>
      <c r="AX5" s="164" t="str">
        <f t="shared" ref="AX5:AX21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0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0</v>
      </c>
      <c r="AV6" s="163">
        <f t="shared" si="1"/>
        <v>0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1.1802129188277817</v>
      </c>
      <c r="P7" s="116">
        <f>I7*E9</f>
        <v>0</v>
      </c>
      <c r="Q7" s="117"/>
      <c r="R7" s="117"/>
      <c r="S7" s="116">
        <f>I7*E12</f>
        <v>0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4720.8516753111271</v>
      </c>
      <c r="AV7" s="163">
        <f t="shared" si="1"/>
        <v>0.37467076788183545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>
        <v>2.63</v>
      </c>
      <c r="E8" s="110">
        <f>D8/'pomocne tabulky'!D8</f>
        <v>1.5092893026394773E-2</v>
      </c>
      <c r="F8" s="115">
        <f>IF(D8=0, 0, ((100/'pomocne tabulky'!$Q$23)/('pomocne tabulky'!G8/D8)))</f>
        <v>23.719806850424522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163">
        <f t="shared" si="1"/>
        <v>0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/>
      <c r="E9" s="110">
        <f>D9/'pomocne tabulky'!D9</f>
        <v>0</v>
      </c>
      <c r="F9" s="115">
        <f>IF(D9=0, 0, ((100/'pomocne tabulky'!$Q$23)/('pomocne tabulky'!G9/D9)))</f>
        <v>0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187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0</v>
      </c>
      <c r="AV9" s="163">
        <f t="shared" si="1"/>
        <v>0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0</v>
      </c>
      <c r="AV10" s="163">
        <f t="shared" si="1"/>
        <v>0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0</v>
      </c>
      <c r="AV11" s="163">
        <f t="shared" si="1"/>
        <v>0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/>
      <c r="E12" s="110">
        <f>D12/'pomocne tabulky'!D12</f>
        <v>0</v>
      </c>
      <c r="F12" s="115">
        <f>IF(D12=0, 0, ((100/'pomocne tabulky'!$Q$23)/('pomocne tabulky'!G12/D12)))</f>
        <v>0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0</v>
      </c>
      <c r="AV12" s="163">
        <f t="shared" si="1"/>
        <v>0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0</v>
      </c>
      <c r="AV13" s="163">
        <f t="shared" si="1"/>
        <v>0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163">
        <f t="shared" si="1"/>
        <v>0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0</v>
      </c>
      <c r="AV15" s="163">
        <f t="shared" si="1"/>
        <v>0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0</v>
      </c>
      <c r="AV16" s="163">
        <f t="shared" si="1"/>
        <v>0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0</v>
      </c>
      <c r="AV17" s="163">
        <f t="shared" si="1"/>
        <v>0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0</v>
      </c>
      <c r="AV18" s="163">
        <f t="shared" si="1"/>
        <v>0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163">
        <f t="shared" si="1"/>
        <v>0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163">
        <f t="shared" si="1"/>
        <v>0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163">
        <f t="shared" si="1"/>
        <v>0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ref="AU22:AU33" si="4">IF($D$43=0, "---", SUM(AF22:AT22)+(SUM(J22:AE22)*1000)/($E$43/1000))</f>
        <v>0</v>
      </c>
      <c r="AV22" s="163">
        <f t="shared" ref="AV22:AV33" si="5">IF($AV$78=0,"ziadne akva",IF($D$43=0,"ziadny roztok",IF($D$47=0,"ziadna davka",((AU22*$D$47)/($AV$78*1000)))))</f>
        <v>0</v>
      </c>
      <c r="AW22" s="163" t="str">
        <f t="shared" ref="AW22:AW33" si="6">IF($AW$78=0,"ziadne akva",IF($D$43=0,"ziadny roztok",IF($D$49=0,"ziadna davka",((AU22*$D$49)/($AW$78*1000)))))</f>
        <v>ziadne akva</v>
      </c>
      <c r="AX22" s="164" t="str">
        <f t="shared" ref="AX22:AX27" si="7">IF($AX$78=0,"ziadne akva",IF($D$43=0,"ziadny roztok",IF($D$51=0,"ziadna davka",((AU22*$D$51)/($AX$78*1000)))))</f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4"/>
        <v>0</v>
      </c>
      <c r="AV23" s="163">
        <f t="shared" si="5"/>
        <v>0</v>
      </c>
      <c r="AW23" s="163" t="str">
        <f t="shared" si="6"/>
        <v>ziadne akva</v>
      </c>
      <c r="AX23" s="164" t="str">
        <f t="shared" si="7"/>
        <v>ziadne akva</v>
      </c>
      <c r="AY23" s="45"/>
      <c r="AZ23" s="46"/>
    </row>
    <row r="24" spans="1:52" ht="1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4"/>
        <v>0</v>
      </c>
      <c r="AV24" s="163">
        <f t="shared" si="5"/>
        <v>0</v>
      </c>
      <c r="AW24" s="163" t="str">
        <f t="shared" si="6"/>
        <v>ziadne akva</v>
      </c>
      <c r="AX24" s="164" t="str">
        <f t="shared" si="7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4"/>
        <v>0</v>
      </c>
      <c r="AV25" s="163">
        <f t="shared" si="5"/>
        <v>0</v>
      </c>
      <c r="AW25" s="163" t="str">
        <f t="shared" si="6"/>
        <v>ziadne akva</v>
      </c>
      <c r="AX25" s="164" t="str">
        <f t="shared" si="7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4"/>
        <v>0</v>
      </c>
      <c r="AV26" s="163">
        <f t="shared" si="5"/>
        <v>0</v>
      </c>
      <c r="AW26" s="163" t="str">
        <f t="shared" si="6"/>
        <v>ziadne akva</v>
      </c>
      <c r="AX26" s="164" t="str">
        <f t="shared" si="7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4"/>
        <v>0</v>
      </c>
      <c r="AV27" s="163">
        <f t="shared" si="5"/>
        <v>0</v>
      </c>
      <c r="AW27" s="163" t="str">
        <f t="shared" si="6"/>
        <v>ziadne akva</v>
      </c>
      <c r="AX27" s="164" t="str">
        <f t="shared" si="7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4"/>
        <v>0</v>
      </c>
      <c r="AV28" s="165">
        <f t="shared" si="5"/>
        <v>0</v>
      </c>
      <c r="AW28" s="165" t="str">
        <f t="shared" si="6"/>
        <v>ziadne akva</v>
      </c>
      <c r="AX28" s="166" t="str">
        <f t="shared" ref="AX28:AX33" si="8">IF($AX$78=0,"ziadne akva",IF($D$43=0,"ziadny roztok",IF($D$51=0,"ziadna davka",((AU27*$D$51)/($AX$78*1000)))))</f>
        <v>ziadne akva</v>
      </c>
      <c r="AY28" s="45"/>
      <c r="AZ28" s="46"/>
    </row>
    <row r="29" spans="1:52" ht="1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1.4497870811722187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4"/>
        <v>5799.1483246888747</v>
      </c>
      <c r="AV29" s="167">
        <f t="shared" si="5"/>
        <v>0.46024986703879955</v>
      </c>
      <c r="AW29" s="167" t="str">
        <f t="shared" si="6"/>
        <v>ziadne akva</v>
      </c>
      <c r="AX29" s="168" t="str">
        <f t="shared" si="8"/>
        <v>ziadne akva</v>
      </c>
      <c r="AY29" s="45"/>
      <c r="AZ29" s="46"/>
    </row>
    <row r="30" spans="1:52" ht="1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4"/>
        <v>0</v>
      </c>
      <c r="AV30" s="163">
        <f t="shared" si="5"/>
        <v>0</v>
      </c>
      <c r="AW30" s="163" t="str">
        <f t="shared" si="6"/>
        <v>ziadne akva</v>
      </c>
      <c r="AX30" s="164" t="str">
        <f t="shared" si="8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0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4"/>
        <v>0</v>
      </c>
      <c r="AV31" s="163">
        <f t="shared" si="5"/>
        <v>0</v>
      </c>
      <c r="AW31" s="163" t="str">
        <f t="shared" si="6"/>
        <v>ziadne akva</v>
      </c>
      <c r="AX31" s="164" t="str">
        <f t="shared" si="8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4"/>
        <v>0</v>
      </c>
      <c r="AV32" s="163">
        <f t="shared" si="5"/>
        <v>0</v>
      </c>
      <c r="AW32" s="163" t="str">
        <f t="shared" si="6"/>
        <v>ziadne akva</v>
      </c>
      <c r="AX32" s="164" t="str">
        <f t="shared" si="8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4"/>
        <v>0</v>
      </c>
      <c r="AV33" s="163">
        <f t="shared" si="5"/>
        <v>0</v>
      </c>
      <c r="AW33" s="163" t="str">
        <f t="shared" si="6"/>
        <v>ziadne akva</v>
      </c>
      <c r="AX33" s="164" t="str">
        <f t="shared" si="8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" customHeight="1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ht="15" customHeight="1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2.63</v>
      </c>
      <c r="E40" s="112" t="s">
        <v>56</v>
      </c>
      <c r="F40" s="126">
        <f>SUM(F3:F21)</f>
        <v>23.719806850424522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>
        <v>250</v>
      </c>
      <c r="E43" s="442">
        <f>E44/'pomocne tabulky'!Q23</f>
        <v>250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D44+SUM(J34:AE34)</f>
        <v>249.5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13.849354547917102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x14ac:dyDescent="0.25">
      <c r="A47" s="439" t="s">
        <v>135</v>
      </c>
      <c r="B47" s="439"/>
      <c r="C47" s="439"/>
      <c r="D47" s="440">
        <v>5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>
        <v>5</v>
      </c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36:C36"/>
    <mergeCell ref="A37:C37"/>
    <mergeCell ref="A31:C31"/>
    <mergeCell ref="A32:C32"/>
    <mergeCell ref="A33:C33"/>
    <mergeCell ref="A34:C34"/>
    <mergeCell ref="A35:C35"/>
    <mergeCell ref="A38:C38"/>
    <mergeCell ref="A39:C39"/>
    <mergeCell ref="A40:C40"/>
    <mergeCell ref="A42:C42"/>
    <mergeCell ref="E42:F42"/>
    <mergeCell ref="A43:C43"/>
    <mergeCell ref="E43:F43"/>
    <mergeCell ref="A44:C44"/>
    <mergeCell ref="A25:C25"/>
    <mergeCell ref="A28:C28"/>
    <mergeCell ref="A29:C29"/>
    <mergeCell ref="A27:C27"/>
    <mergeCell ref="A30:C30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3:C23"/>
    <mergeCell ref="AU1:AU2"/>
    <mergeCell ref="AV1:AV2"/>
    <mergeCell ref="AW1:AW2"/>
    <mergeCell ref="AX1:AX2"/>
    <mergeCell ref="A26:C26"/>
    <mergeCell ref="A7:C7"/>
    <mergeCell ref="A1:F1"/>
    <mergeCell ref="H1:H2"/>
    <mergeCell ref="I1:I2"/>
    <mergeCell ref="J1:AE1"/>
    <mergeCell ref="A5:C5"/>
    <mergeCell ref="A6:C6"/>
    <mergeCell ref="A2:C2"/>
    <mergeCell ref="A3:C3"/>
    <mergeCell ref="A4:C4"/>
    <mergeCell ref="AF1:AT1"/>
    <mergeCell ref="A49:C50"/>
    <mergeCell ref="D49:D50"/>
    <mergeCell ref="A51:C52"/>
    <mergeCell ref="D51:D52"/>
    <mergeCell ref="E44:F44"/>
    <mergeCell ref="A45:C45"/>
    <mergeCell ref="E45:F45"/>
    <mergeCell ref="A47:C48"/>
    <mergeCell ref="D47:D48"/>
  </mergeCells>
  <conditionalFormatting sqref="A47:C48 AV77 AV1">
    <cfRule type="expression" dxfId="96" priority="29">
      <formula>$AV$78</formula>
    </cfRule>
  </conditionalFormatting>
  <conditionalFormatting sqref="A49:C50 AW77 AW1">
    <cfRule type="expression" dxfId="95" priority="28">
      <formula>$AW$78</formula>
    </cfRule>
  </conditionalFormatting>
  <conditionalFormatting sqref="A51:C52 AX77 AX1">
    <cfRule type="expression" dxfId="94" priority="27">
      <formula>$AX$78</formula>
    </cfRule>
  </conditionalFormatting>
  <conditionalFormatting sqref="AX3:AX35 D51:D52">
    <cfRule type="expression" dxfId="93" priority="26">
      <formula>($AX$78=0)</formula>
    </cfRule>
  </conditionalFormatting>
  <conditionalFormatting sqref="AW3:AW35 D49:D50">
    <cfRule type="expression" dxfId="92" priority="25">
      <formula>($AW$78=0)</formula>
    </cfRule>
  </conditionalFormatting>
  <conditionalFormatting sqref="AV22:AV35 AV3:AW21 D47:D48">
    <cfRule type="expression" dxfId="91" priority="24">
      <formula>($AV$78=0)</formula>
    </cfRule>
  </conditionalFormatting>
  <conditionalFormatting sqref="AX22:AX33">
    <cfRule type="expression" dxfId="90" priority="23">
      <formula>($AX$78=0)</formula>
    </cfRule>
  </conditionalFormatting>
  <conditionalFormatting sqref="AW22:AW33">
    <cfRule type="expression" dxfId="89" priority="22">
      <formula>($AW$78=0)</formula>
    </cfRule>
  </conditionalFormatting>
  <conditionalFormatting sqref="AX22:AX33">
    <cfRule type="expression" dxfId="88" priority="21">
      <formula>($AX$78=0)</formula>
    </cfRule>
  </conditionalFormatting>
  <conditionalFormatting sqref="AW22:AW33">
    <cfRule type="expression" dxfId="87" priority="20">
      <formula>($AW$78=0)</formula>
    </cfRule>
  </conditionalFormatting>
  <conditionalFormatting sqref="AW22:AW33">
    <cfRule type="expression" dxfId="86" priority="19">
      <formula>($AV$78=0)</formula>
    </cfRule>
  </conditionalFormatting>
  <conditionalFormatting sqref="AW22:AW33">
    <cfRule type="expression" dxfId="85" priority="18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78"/>
  <sheetViews>
    <sheetView zoomScale="85" zoomScaleNormal="85" workbookViewId="0">
      <pane ySplit="2" topLeftCell="A3" activePane="bottomLeft" state="frozen"/>
      <selection activeCell="D42" sqref="D42"/>
      <selection pane="bottomLeft" activeCell="D5" sqref="D5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customHeight="1" thickBot="1" x14ac:dyDescent="0.3">
      <c r="A1" s="463" t="s">
        <v>147</v>
      </c>
      <c r="B1" s="463"/>
      <c r="C1" s="463"/>
      <c r="D1" s="463"/>
      <c r="E1" s="463"/>
      <c r="F1" s="463"/>
      <c r="G1" s="44"/>
      <c r="H1" s="484" t="s">
        <v>10</v>
      </c>
      <c r="I1" s="486" t="s">
        <v>199</v>
      </c>
      <c r="J1" s="488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88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78" t="s">
        <v>49</v>
      </c>
      <c r="AV1" s="480" t="s">
        <v>154</v>
      </c>
      <c r="AW1" s="480" t="s">
        <v>155</v>
      </c>
      <c r="AX1" s="482" t="s">
        <v>156</v>
      </c>
      <c r="AY1" s="45"/>
      <c r="AZ1" s="46"/>
    </row>
    <row r="2" spans="1:52" ht="64.5" customHeight="1" thickBot="1" x14ac:dyDescent="0.3">
      <c r="A2" s="468" t="s">
        <v>47</v>
      </c>
      <c r="B2" s="469"/>
      <c r="C2" s="469"/>
      <c r="D2" s="200" t="s">
        <v>48</v>
      </c>
      <c r="E2" s="200" t="s">
        <v>52</v>
      </c>
      <c r="F2" s="47" t="s">
        <v>53</v>
      </c>
      <c r="G2" s="48"/>
      <c r="H2" s="485"/>
      <c r="I2" s="48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79"/>
      <c r="AV2" s="481"/>
      <c r="AW2" s="481"/>
      <c r="AX2" s="483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1.1308163831622113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21" si="0">IF($D$43=0, "---", SUM(AF3:AT3)+(SUM(J3:AE3)*1000)/($E$43/1000))</f>
        <v>4523.2655326488457</v>
      </c>
      <c r="AV3" s="161">
        <f t="shared" ref="AV3:AV33" si="1">IF($AV$78=0,"ziadne akva",IF($D$43=0,"ziadny roztok",IF($D$47=0,"ziadna davka",((AU3*$D$47)/($AV$78*1000)))))</f>
        <v>0.35898932798800365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>
        <v>5.6</v>
      </c>
      <c r="E4" s="110">
        <f>D4/'pomocne tabulky'!D4</f>
        <v>4.6526080360510653E-2</v>
      </c>
      <c r="F4" s="115">
        <f>IF(D4=0, 0, ((100/'pomocne tabulky'!$Q$23)/('pomocne tabulky'!G4/D4)))</f>
        <v>9.7872598305466987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1.4916261363579717</v>
      </c>
      <c r="L4" s="116">
        <f>I4*E5</f>
        <v>0</v>
      </c>
      <c r="M4" s="116">
        <f>I4*E6</f>
        <v>0</v>
      </c>
      <c r="N4" s="117"/>
      <c r="O4" s="116">
        <f>I4*E8</f>
        <v>0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5966.504545431887</v>
      </c>
      <c r="AV4" s="163">
        <f t="shared" si="1"/>
        <v>0.47353210678030849</v>
      </c>
      <c r="AW4" s="163" t="str">
        <f t="shared" ref="AW4:AW33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2.9775574804798164</v>
      </c>
      <c r="L5" s="116">
        <f>6*I5*E5</f>
        <v>0</v>
      </c>
      <c r="M5" s="116">
        <f>4*I5*E6</f>
        <v>0</v>
      </c>
      <c r="N5" s="117"/>
      <c r="O5" s="116">
        <f>I5*E8*4</f>
        <v>0</v>
      </c>
      <c r="P5" s="116">
        <f>I5*E9*3</f>
        <v>0</v>
      </c>
      <c r="Q5" s="116">
        <f>I5*E10*(4+7)</f>
        <v>0</v>
      </c>
      <c r="R5" s="116">
        <f>I5*E11*3</f>
        <v>0</v>
      </c>
      <c r="S5" s="116">
        <f>I5*E12*4</f>
        <v>0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11910.229921919266</v>
      </c>
      <c r="AV5" s="163">
        <f t="shared" si="1"/>
        <v>0.94525634300946559</v>
      </c>
      <c r="AW5" s="163" t="str">
        <f t="shared" si="2"/>
        <v>ziadne akva</v>
      </c>
      <c r="AX5" s="164" t="str">
        <f t="shared" ref="AX5:AX27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0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0</v>
      </c>
      <c r="AV6" s="163">
        <f t="shared" si="1"/>
        <v>0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</v>
      </c>
      <c r="P7" s="116">
        <f>I7*E9</f>
        <v>0</v>
      </c>
      <c r="Q7" s="117"/>
      <c r="R7" s="117"/>
      <c r="S7" s="116">
        <f>I7*E12</f>
        <v>0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0</v>
      </c>
      <c r="AV7" s="163">
        <f t="shared" si="1"/>
        <v>0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/>
      <c r="E8" s="110">
        <f>D8/'pomocne tabulky'!D8</f>
        <v>0</v>
      </c>
      <c r="F8" s="115">
        <f>IF(D8=0, 0, ((100/'pomocne tabulky'!$Q$23)/('pomocne tabulky'!G8/D8)))</f>
        <v>0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163">
        <f t="shared" si="1"/>
        <v>0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/>
      <c r="E9" s="110">
        <f>D9/'pomocne tabulky'!D9</f>
        <v>0</v>
      </c>
      <c r="F9" s="115">
        <f>IF(D9=0, 0, ((100/'pomocne tabulky'!$Q$23)/('pomocne tabulky'!G9/D9)))</f>
        <v>0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187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0</v>
      </c>
      <c r="AV9" s="163">
        <f t="shared" si="1"/>
        <v>0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0</v>
      </c>
      <c r="AV10" s="163">
        <f t="shared" si="1"/>
        <v>0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0</v>
      </c>
      <c r="AV11" s="163">
        <f t="shared" si="1"/>
        <v>0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/>
      <c r="E12" s="110">
        <f>D12/'pomocne tabulky'!D12</f>
        <v>0</v>
      </c>
      <c r="F12" s="115">
        <f>IF(D12=0, 0, ((100/'pomocne tabulky'!$Q$23)/('pomocne tabulky'!G12/D12)))</f>
        <v>0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0</v>
      </c>
      <c r="AV12" s="163">
        <f t="shared" si="1"/>
        <v>0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0</v>
      </c>
      <c r="AV13" s="163">
        <f t="shared" si="1"/>
        <v>0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163">
        <f t="shared" si="1"/>
        <v>0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0</v>
      </c>
      <c r="AV15" s="163">
        <f t="shared" si="1"/>
        <v>0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0</v>
      </c>
      <c r="AV16" s="163">
        <f t="shared" si="1"/>
        <v>0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0</v>
      </c>
      <c r="AV17" s="163">
        <f t="shared" si="1"/>
        <v>0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0</v>
      </c>
      <c r="AV18" s="163">
        <f t="shared" si="1"/>
        <v>0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163">
        <f t="shared" si="1"/>
        <v>0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163">
        <f t="shared" si="1"/>
        <v>0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163">
        <f t="shared" si="1"/>
        <v>0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ref="AU22:AU33" si="4">IF($D$43=0, "---", SUM(AF22:AT22)+(SUM(J22:AE22)*1000)/($E$43/1000))</f>
        <v>0</v>
      </c>
      <c r="AV22" s="163">
        <f t="shared" si="1"/>
        <v>0</v>
      </c>
      <c r="AW22" s="163" t="str">
        <f t="shared" si="2"/>
        <v>ziadne akva</v>
      </c>
      <c r="AX22" s="164" t="str">
        <f t="shared" si="3"/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4"/>
        <v>0</v>
      </c>
      <c r="AV23" s="163">
        <f t="shared" si="1"/>
        <v>0</v>
      </c>
      <c r="AW23" s="163" t="str">
        <f t="shared" si="2"/>
        <v>ziadne akva</v>
      </c>
      <c r="AX23" s="164" t="str">
        <f t="shared" si="3"/>
        <v>ziadne akva</v>
      </c>
      <c r="AY23" s="45"/>
      <c r="AZ23" s="46"/>
    </row>
    <row r="24" spans="1:52" ht="1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4"/>
        <v>0</v>
      </c>
      <c r="AV24" s="163">
        <f t="shared" si="1"/>
        <v>0</v>
      </c>
      <c r="AW24" s="163" t="str">
        <f t="shared" si="2"/>
        <v>ziadne akva</v>
      </c>
      <c r="AX24" s="164" t="str">
        <f t="shared" si="3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4"/>
        <v>0</v>
      </c>
      <c r="AV25" s="163">
        <f t="shared" si="1"/>
        <v>0</v>
      </c>
      <c r="AW25" s="163" t="str">
        <f t="shared" si="2"/>
        <v>ziadne akva</v>
      </c>
      <c r="AX25" s="164" t="str">
        <f t="shared" si="3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4"/>
        <v>0</v>
      </c>
      <c r="AV26" s="163">
        <f t="shared" si="1"/>
        <v>0</v>
      </c>
      <c r="AW26" s="163" t="str">
        <f t="shared" si="2"/>
        <v>ziadne akva</v>
      </c>
      <c r="AX26" s="164" t="str">
        <f t="shared" si="3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4"/>
        <v>0</v>
      </c>
      <c r="AV27" s="163">
        <f t="shared" si="1"/>
        <v>0</v>
      </c>
      <c r="AW27" s="163" t="str">
        <f t="shared" si="2"/>
        <v>ziadne akva</v>
      </c>
      <c r="AX27" s="164" t="str">
        <f t="shared" si="3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4"/>
        <v>0</v>
      </c>
      <c r="AV28" s="165">
        <f t="shared" si="1"/>
        <v>0</v>
      </c>
      <c r="AW28" s="165" t="str">
        <f t="shared" si="2"/>
        <v>ziadne akva</v>
      </c>
      <c r="AX28" s="166" t="str">
        <f t="shared" ref="AX28:AX33" si="5">IF($AX$78=0,"ziadne akva",IF($D$43=0,"ziadny roztok",IF($D$51=0,"ziadna davka",((AU27*$D$51)/($AX$78*1000)))))</f>
        <v>ziadne akva</v>
      </c>
      <c r="AY28" s="45"/>
      <c r="AZ28" s="46"/>
    </row>
    <row r="29" spans="1:52" ht="1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4.4691836168377881</v>
      </c>
      <c r="L29" s="119">
        <f>I29*E5</f>
        <v>0</v>
      </c>
      <c r="M29" s="119">
        <f>I29*E6</f>
        <v>0</v>
      </c>
      <c r="N29" s="120"/>
      <c r="O29" s="119">
        <f>I29*E8</f>
        <v>0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4"/>
        <v>17876.734467351151</v>
      </c>
      <c r="AV29" s="167">
        <f t="shared" si="1"/>
        <v>1.418788449789774</v>
      </c>
      <c r="AW29" s="167" t="str">
        <f t="shared" si="2"/>
        <v>ziadne akva</v>
      </c>
      <c r="AX29" s="168" t="str">
        <f t="shared" si="5"/>
        <v>ziadne akva</v>
      </c>
      <c r="AY29" s="45"/>
      <c r="AZ29" s="46"/>
    </row>
    <row r="30" spans="1:52" ht="1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4"/>
        <v>0</v>
      </c>
      <c r="AV30" s="163">
        <f t="shared" si="1"/>
        <v>0</v>
      </c>
      <c r="AW30" s="163" t="str">
        <f t="shared" si="2"/>
        <v>ziadne akva</v>
      </c>
      <c r="AX30" s="164" t="str">
        <f t="shared" si="5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0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4"/>
        <v>0</v>
      </c>
      <c r="AV31" s="163">
        <f t="shared" si="1"/>
        <v>0</v>
      </c>
      <c r="AW31" s="163" t="str">
        <f t="shared" si="2"/>
        <v>ziadne akva</v>
      </c>
      <c r="AX31" s="164" t="str">
        <f t="shared" si="5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4"/>
        <v>0</v>
      </c>
      <c r="AV32" s="163">
        <f t="shared" si="1"/>
        <v>0</v>
      </c>
      <c r="AW32" s="163" t="str">
        <f t="shared" si="2"/>
        <v>ziadne akva</v>
      </c>
      <c r="AX32" s="164" t="str">
        <f t="shared" si="5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4"/>
        <v>0</v>
      </c>
      <c r="AV33" s="163">
        <f t="shared" si="1"/>
        <v>0</v>
      </c>
      <c r="AW33" s="163" t="str">
        <f t="shared" si="2"/>
        <v>ziadne akva</v>
      </c>
      <c r="AX33" s="164" t="str">
        <f t="shared" si="5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.75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489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5.6</v>
      </c>
      <c r="E40" s="112" t="s">
        <v>56</v>
      </c>
      <c r="F40" s="126">
        <f>SUM(F3:F21)</f>
        <v>9.7872598305466987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>
        <v>250</v>
      </c>
      <c r="E43" s="442">
        <f>E44/'pomocne tabulky'!Q23</f>
        <v>250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D44+SUM(J35:AE35)</f>
        <v>249.5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13.849354547917102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x14ac:dyDescent="0.25">
      <c r="A47" s="439" t="s">
        <v>135</v>
      </c>
      <c r="B47" s="439"/>
      <c r="C47" s="439"/>
      <c r="D47" s="440">
        <v>5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>
        <v>5</v>
      </c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36:C36"/>
    <mergeCell ref="A37:C37"/>
    <mergeCell ref="A31:C31"/>
    <mergeCell ref="A32:C32"/>
    <mergeCell ref="A33:C33"/>
    <mergeCell ref="A34:C34"/>
    <mergeCell ref="A35:C35"/>
    <mergeCell ref="A38:C38"/>
    <mergeCell ref="A39:C39"/>
    <mergeCell ref="A40:C40"/>
    <mergeCell ref="A42:C42"/>
    <mergeCell ref="E42:F42"/>
    <mergeCell ref="A43:C43"/>
    <mergeCell ref="E43:F43"/>
    <mergeCell ref="A44:C44"/>
    <mergeCell ref="A25:C25"/>
    <mergeCell ref="A28:C28"/>
    <mergeCell ref="A29:C29"/>
    <mergeCell ref="A27:C27"/>
    <mergeCell ref="A30:C30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3:C23"/>
    <mergeCell ref="AU1:AU2"/>
    <mergeCell ref="AV1:AV2"/>
    <mergeCell ref="AW1:AW2"/>
    <mergeCell ref="AX1:AX2"/>
    <mergeCell ref="A26:C26"/>
    <mergeCell ref="A7:C7"/>
    <mergeCell ref="A1:F1"/>
    <mergeCell ref="H1:H2"/>
    <mergeCell ref="I1:I2"/>
    <mergeCell ref="J1:AE1"/>
    <mergeCell ref="A5:C5"/>
    <mergeCell ref="A6:C6"/>
    <mergeCell ref="A2:C2"/>
    <mergeCell ref="A3:C3"/>
    <mergeCell ref="A4:C4"/>
    <mergeCell ref="AF1:AT1"/>
    <mergeCell ref="A49:C50"/>
    <mergeCell ref="D49:D50"/>
    <mergeCell ref="A51:C52"/>
    <mergeCell ref="D51:D52"/>
    <mergeCell ref="E44:F44"/>
    <mergeCell ref="A45:C45"/>
    <mergeCell ref="E45:F45"/>
    <mergeCell ref="A47:C48"/>
    <mergeCell ref="D47:D48"/>
  </mergeCells>
  <conditionalFormatting sqref="A47:C48 AV1:AV2 AV77">
    <cfRule type="expression" dxfId="84" priority="43">
      <formula>$AV$78</formula>
    </cfRule>
  </conditionalFormatting>
  <conditionalFormatting sqref="A49:C50 AW1:AW2 AW77">
    <cfRule type="expression" dxfId="83" priority="42">
      <formula>$AW$78</formula>
    </cfRule>
  </conditionalFormatting>
  <conditionalFormatting sqref="A51:C52 AX77 AX1:AX2">
    <cfRule type="expression" dxfId="82" priority="41">
      <formula>$AX$78</formula>
    </cfRule>
  </conditionalFormatting>
  <conditionalFormatting sqref="D51:D52 AX3:AX35">
    <cfRule type="expression" dxfId="81" priority="40">
      <formula>($AX$78=0)</formula>
    </cfRule>
  </conditionalFormatting>
  <conditionalFormatting sqref="D49:D50 AW3:AW35">
    <cfRule type="expression" dxfId="80" priority="39">
      <formula>($AW$78=0)</formula>
    </cfRule>
  </conditionalFormatting>
  <conditionalFormatting sqref="D47:D48 AV3:AV35">
    <cfRule type="expression" dxfId="79" priority="38">
      <formula>($AV$78=0)</formula>
    </cfRule>
  </conditionalFormatting>
  <conditionalFormatting sqref="AX3:AX35">
    <cfRule type="expression" dxfId="78" priority="37">
      <formula>($AX$78=0)</formula>
    </cfRule>
  </conditionalFormatting>
  <conditionalFormatting sqref="AW3:AW35">
    <cfRule type="expression" dxfId="77" priority="36">
      <formula>($AW$78=0)</formula>
    </cfRule>
  </conditionalFormatting>
  <conditionalFormatting sqref="AX3:AX34">
    <cfRule type="expression" dxfId="76" priority="35">
      <formula>($AX$78=0)</formula>
    </cfRule>
  </conditionalFormatting>
  <conditionalFormatting sqref="AW3:AW34">
    <cfRule type="expression" dxfId="75" priority="34">
      <formula>($AW$78=0)</formula>
    </cfRule>
  </conditionalFormatting>
  <conditionalFormatting sqref="AX3:AX34">
    <cfRule type="expression" dxfId="74" priority="33">
      <formula>($AX$78=0)</formula>
    </cfRule>
  </conditionalFormatting>
  <conditionalFormatting sqref="AW3:AW34">
    <cfRule type="expression" dxfId="73" priority="32">
      <formula>($AW$78=0)</formula>
    </cfRule>
  </conditionalFormatting>
  <conditionalFormatting sqref="AW3:AW34">
    <cfRule type="expression" dxfId="72" priority="31">
      <formula>($AV$78=0)</formula>
    </cfRule>
  </conditionalFormatting>
  <conditionalFormatting sqref="AW3:AW34">
    <cfRule type="expression" dxfId="71" priority="30">
      <formula>($AV$78=0)</formula>
    </cfRule>
  </conditionalFormatting>
  <conditionalFormatting sqref="D51:D52">
    <cfRule type="expression" dxfId="70" priority="29">
      <formula>($AX$78=0)</formula>
    </cfRule>
  </conditionalFormatting>
  <conditionalFormatting sqref="D49:D50">
    <cfRule type="expression" dxfId="69" priority="28">
      <formula>($AW$78=0)</formula>
    </cfRule>
  </conditionalFormatting>
  <conditionalFormatting sqref="D47:D48">
    <cfRule type="expression" dxfId="68" priority="27">
      <formula>($AV$78=0)</formula>
    </cfRule>
  </conditionalFormatting>
  <conditionalFormatting sqref="D51:D52">
    <cfRule type="expression" dxfId="67" priority="26">
      <formula>($AX$78=0)</formula>
    </cfRule>
  </conditionalFormatting>
  <conditionalFormatting sqref="D49:D50">
    <cfRule type="expression" dxfId="66" priority="25">
      <formula>($AW$78=0)</formula>
    </cfRule>
  </conditionalFormatting>
  <conditionalFormatting sqref="D47:D48">
    <cfRule type="expression" dxfId="65" priority="24">
      <formula>($AV$78=0)</formula>
    </cfRule>
  </conditionalFormatting>
  <conditionalFormatting sqref="D51:D52">
    <cfRule type="expression" dxfId="64" priority="23">
      <formula>($AX$78=0)</formula>
    </cfRule>
  </conditionalFormatting>
  <conditionalFormatting sqref="D49:D50">
    <cfRule type="expression" dxfId="63" priority="22">
      <formula>($AW$78=0)</formula>
    </cfRule>
  </conditionalFormatting>
  <conditionalFormatting sqref="D47:D48">
    <cfRule type="expression" dxfId="62" priority="21">
      <formula>($AV$78=0)</formula>
    </cfRule>
  </conditionalFormatting>
  <conditionalFormatting sqref="D49:D50">
    <cfRule type="expression" dxfId="61" priority="20">
      <formula>($AW$78=0)</formula>
    </cfRule>
  </conditionalFormatting>
  <conditionalFormatting sqref="D47:D48">
    <cfRule type="expression" dxfId="60" priority="19">
      <formula>($AV$78=0)</formula>
    </cfRule>
  </conditionalFormatting>
  <conditionalFormatting sqref="D49:D50">
    <cfRule type="expression" dxfId="59" priority="18">
      <formula>($AW$78=0)</formula>
    </cfRule>
  </conditionalFormatting>
  <conditionalFormatting sqref="D47:D48">
    <cfRule type="expression" dxfId="58" priority="17">
      <formula>($AV$78=0)</formula>
    </cfRule>
  </conditionalFormatting>
  <conditionalFormatting sqref="D49:D50">
    <cfRule type="expression" dxfId="57" priority="16">
      <formula>($AW$78=0)</formula>
    </cfRule>
  </conditionalFormatting>
  <conditionalFormatting sqref="D47:D48">
    <cfRule type="expression" dxfId="56" priority="15">
      <formula>($AV$78=0)</formula>
    </cfRule>
  </conditionalFormatting>
  <conditionalFormatting sqref="D49:D50">
    <cfRule type="expression" dxfId="55" priority="14">
      <formula>($AW$78=0)</formula>
    </cfRule>
  </conditionalFormatting>
  <conditionalFormatting sqref="D47:D48">
    <cfRule type="expression" dxfId="54" priority="13">
      <formula>($AV$78=0)</formula>
    </cfRule>
  </conditionalFormatting>
  <conditionalFormatting sqref="AV1">
    <cfRule type="expression" dxfId="53" priority="12">
      <formula>$AV$78</formula>
    </cfRule>
  </conditionalFormatting>
  <conditionalFormatting sqref="AW1">
    <cfRule type="expression" dxfId="52" priority="11">
      <formula>$AW$78</formula>
    </cfRule>
  </conditionalFormatting>
  <conditionalFormatting sqref="AX1">
    <cfRule type="expression" dxfId="51" priority="10">
      <formula>$AX$78</formula>
    </cfRule>
  </conditionalFormatting>
  <conditionalFormatting sqref="AX3:AX35">
    <cfRule type="expression" dxfId="50" priority="9">
      <formula>($AX$78=0)</formula>
    </cfRule>
  </conditionalFormatting>
  <conditionalFormatting sqref="AW3:AW35">
    <cfRule type="expression" dxfId="49" priority="8">
      <formula>($AW$78=0)</formula>
    </cfRule>
  </conditionalFormatting>
  <conditionalFormatting sqref="AV22:AV35 AV3:AW21">
    <cfRule type="expression" dxfId="48" priority="7">
      <formula>($AV$78=0)</formula>
    </cfRule>
  </conditionalFormatting>
  <conditionalFormatting sqref="AX22:AX33">
    <cfRule type="expression" dxfId="47" priority="6">
      <formula>($AX$78=0)</formula>
    </cfRule>
  </conditionalFormatting>
  <conditionalFormatting sqref="AW22:AW33">
    <cfRule type="expression" dxfId="46" priority="5">
      <formula>($AW$78=0)</formula>
    </cfRule>
  </conditionalFormatting>
  <conditionalFormatting sqref="AX22:AX33">
    <cfRule type="expression" dxfId="45" priority="4">
      <formula>($AX$78=0)</formula>
    </cfRule>
  </conditionalFormatting>
  <conditionalFormatting sqref="AW22:AW33">
    <cfRule type="expression" dxfId="44" priority="3">
      <formula>($AW$78=0)</formula>
    </cfRule>
  </conditionalFormatting>
  <conditionalFormatting sqref="AW22:AW33">
    <cfRule type="expression" dxfId="43" priority="2">
      <formula>($AV$78=0)</formula>
    </cfRule>
  </conditionalFormatting>
  <conditionalFormatting sqref="AW22:AW33">
    <cfRule type="expression" dxfId="42" priority="1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35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Z78"/>
  <sheetViews>
    <sheetView zoomScale="85" zoomScaleNormal="85" workbookViewId="0">
      <pane ySplit="2" topLeftCell="A3" activePane="bottomLeft" state="frozen"/>
      <selection activeCell="D42" sqref="D42"/>
      <selection pane="bottomLeft" activeCell="D24" sqref="D24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thickBot="1" x14ac:dyDescent="0.3">
      <c r="A1" s="463" t="s">
        <v>147</v>
      </c>
      <c r="B1" s="463"/>
      <c r="C1" s="463"/>
      <c r="D1" s="463"/>
      <c r="E1" s="463"/>
      <c r="F1" s="463"/>
      <c r="G1" s="44"/>
      <c r="H1" s="464" t="s">
        <v>10</v>
      </c>
      <c r="I1" s="466" t="s">
        <v>199</v>
      </c>
      <c r="J1" s="461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61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53" t="s">
        <v>49</v>
      </c>
      <c r="AV1" s="455" t="s">
        <v>154</v>
      </c>
      <c r="AW1" s="455" t="s">
        <v>155</v>
      </c>
      <c r="AX1" s="457" t="s">
        <v>156</v>
      </c>
      <c r="AY1" s="45"/>
      <c r="AZ1" s="46"/>
    </row>
    <row r="2" spans="1:52" ht="64.5" thickBot="1" x14ac:dyDescent="0.3">
      <c r="A2" s="468" t="s">
        <v>47</v>
      </c>
      <c r="B2" s="469"/>
      <c r="C2" s="469"/>
      <c r="D2" s="200" t="s">
        <v>48</v>
      </c>
      <c r="E2" s="200" t="s">
        <v>52</v>
      </c>
      <c r="F2" s="47" t="s">
        <v>53</v>
      </c>
      <c r="G2" s="48"/>
      <c r="H2" s="465"/>
      <c r="I2" s="46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54"/>
      <c r="AV2" s="456"/>
      <c r="AW2" s="456"/>
      <c r="AX2" s="458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/>
      <c r="E3" s="109">
        <f>D3/'pomocne tabulky'!D3</f>
        <v>0</v>
      </c>
      <c r="F3" s="113">
        <f>IF(D3=0, 0, ((100/'pomocne tabulky'!$Q$23)/('pomocne tabulky'!G3/D3)))</f>
        <v>0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21" si="0">IF($D$43=0, "---", SUM(AF3:AT3)+(SUM(J3:AE3)*1000)/($E$43/1000))</f>
        <v>0</v>
      </c>
      <c r="AV3" s="161">
        <f t="shared" ref="AV3:AV21" si="1">IF($AV$78=0,"ziadne akva",IF($D$43=0,"ziadny roztok",IF($D$47=0,"ziadna davka",((AU3*$D$47)/($AV$78*1000)))))</f>
        <v>0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0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0</v>
      </c>
      <c r="AV4" s="163">
        <f t="shared" si="1"/>
        <v>0</v>
      </c>
      <c r="AW4" s="163" t="str">
        <f t="shared" ref="AW4:AW21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0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</v>
      </c>
      <c r="P5" s="116">
        <f>I5*E9*3</f>
        <v>0</v>
      </c>
      <c r="Q5" s="116">
        <f>I5*E10*(4+7)</f>
        <v>0</v>
      </c>
      <c r="R5" s="116">
        <f>I5*E11*3</f>
        <v>0</v>
      </c>
      <c r="S5" s="116">
        <f>I5*E12*4</f>
        <v>0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0</v>
      </c>
      <c r="AV5" s="163">
        <f t="shared" si="1"/>
        <v>0</v>
      </c>
      <c r="AW5" s="163" t="str">
        <f t="shared" si="2"/>
        <v>ziadne akva</v>
      </c>
      <c r="AX5" s="164" t="str">
        <f t="shared" ref="AX5:AX21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0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0</v>
      </c>
      <c r="AV6" s="163">
        <f t="shared" si="1"/>
        <v>0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</v>
      </c>
      <c r="P7" s="116">
        <f>I7*E9</f>
        <v>0</v>
      </c>
      <c r="Q7" s="117"/>
      <c r="R7" s="117"/>
      <c r="S7" s="116">
        <f>I7*E12</f>
        <v>0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0</v>
      </c>
      <c r="AV7" s="163">
        <f t="shared" si="1"/>
        <v>0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/>
      <c r="E8" s="110">
        <f>D8/'pomocne tabulky'!D8</f>
        <v>0</v>
      </c>
      <c r="F8" s="115">
        <f>IF(D8=0, 0, ((100/'pomocne tabulky'!$Q$23)/('pomocne tabulky'!G8/D8)))</f>
        <v>0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163">
        <f t="shared" si="1"/>
        <v>0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/>
      <c r="E9" s="110">
        <f>D9/'pomocne tabulky'!D9</f>
        <v>0</v>
      </c>
      <c r="F9" s="115">
        <f>IF(D9=0, 0, ((100/'pomocne tabulky'!$Q$23)/('pomocne tabulky'!G9/D9)))</f>
        <v>0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9.9839999999999998E-2</v>
      </c>
      <c r="AF9" s="233">
        <f>IF(D25, 'pomocne tabulky'!V3*2, 0)</f>
        <v>0</v>
      </c>
      <c r="AG9" s="187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399.36</v>
      </c>
      <c r="AV9" s="163">
        <f t="shared" si="1"/>
        <v>3.1695238095238096E-2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1.3520000000000001E-2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54.080000000000005</v>
      </c>
      <c r="AV10" s="163">
        <f t="shared" si="1"/>
        <v>4.2920634920634929E-3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0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0</v>
      </c>
      <c r="AV11" s="163">
        <f t="shared" si="1"/>
        <v>0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/>
      <c r="E12" s="110">
        <f>D12/'pomocne tabulky'!D12</f>
        <v>0</v>
      </c>
      <c r="F12" s="115">
        <f>IF(D12=0, 0, ((100/'pomocne tabulky'!$Q$23)/('pomocne tabulky'!G12/D12)))</f>
        <v>0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1.3780000000000001E-2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55.120000000000005</v>
      </c>
      <c r="AV12" s="163">
        <f t="shared" si="1"/>
        <v>4.3746031746031751E-3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1.3780000000000001E-2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55.120000000000005</v>
      </c>
      <c r="AV13" s="163">
        <f t="shared" si="1"/>
        <v>4.3746031746031751E-3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163">
        <f t="shared" si="1"/>
        <v>0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0</v>
      </c>
      <c r="AV15" s="163">
        <f t="shared" si="1"/>
        <v>0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6.6819999999999991E-2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267.27999999999997</v>
      </c>
      <c r="AV16" s="163">
        <f t="shared" si="1"/>
        <v>2.1212698412698412E-2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3.3800000000000002E-3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13.520000000000001</v>
      </c>
      <c r="AV17" s="163">
        <f t="shared" si="1"/>
        <v>1.0730158730158732E-3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6.6819999999999991E-2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267.27999999999997</v>
      </c>
      <c r="AV18" s="163">
        <f t="shared" si="1"/>
        <v>2.1212698412698412E-2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163">
        <f t="shared" si="1"/>
        <v>0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163">
        <f t="shared" si="1"/>
        <v>0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163">
        <f t="shared" si="1"/>
        <v>0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ref="AU22:AU33" si="4">IF($D$43=0, "---", SUM(AF22:AT22)+(SUM(J22:AE22)*1000)/($E$43/1000))</f>
        <v>0</v>
      </c>
      <c r="AV22" s="163">
        <f t="shared" ref="AV22:AV33" si="5">IF($AV$78=0,"ziadne akva",IF($D$43=0,"ziadny roztok",IF($D$47=0,"ziadna davka",((AU22*$D$47)/($AV$78*1000)))))</f>
        <v>0</v>
      </c>
      <c r="AW22" s="163" t="str">
        <f t="shared" ref="AW22:AW33" si="6">IF($AW$78=0,"ziadne akva",IF($D$43=0,"ziadny roztok",IF($D$49=0,"ziadna davka",((AU22*$D$49)/($AW$78*1000)))))</f>
        <v>ziadne akva</v>
      </c>
      <c r="AX22" s="164" t="str">
        <f t="shared" ref="AX22:AX27" si="7">IF($AX$78=0,"ziadne akva",IF($D$43=0,"ziadny roztok",IF($D$51=0,"ziadna davka",((AU22*$D$51)/($AX$78*1000)))))</f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4"/>
        <v>0</v>
      </c>
      <c r="AV23" s="163">
        <f t="shared" si="5"/>
        <v>0</v>
      </c>
      <c r="AW23" s="163" t="str">
        <f t="shared" si="6"/>
        <v>ziadne akva</v>
      </c>
      <c r="AX23" s="164" t="str">
        <f t="shared" si="7"/>
        <v>ziadne akva</v>
      </c>
      <c r="AY23" s="45"/>
      <c r="AZ23" s="46"/>
    </row>
    <row r="24" spans="1:52" ht="15" customHeight="1" thickBot="1" x14ac:dyDescent="0.3">
      <c r="A24" s="459" t="s">
        <v>46</v>
      </c>
      <c r="B24" s="460"/>
      <c r="C24" s="460"/>
      <c r="D24" s="299">
        <v>2.6</v>
      </c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4"/>
        <v>0</v>
      </c>
      <c r="AV24" s="163">
        <f t="shared" si="5"/>
        <v>0</v>
      </c>
      <c r="AW24" s="163" t="str">
        <f t="shared" si="6"/>
        <v>ziadne akva</v>
      </c>
      <c r="AX24" s="164" t="str">
        <f t="shared" si="7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4"/>
        <v>0</v>
      </c>
      <c r="AV25" s="163">
        <f t="shared" si="5"/>
        <v>0</v>
      </c>
      <c r="AW25" s="163" t="str">
        <f t="shared" si="6"/>
        <v>ziadne akva</v>
      </c>
      <c r="AX25" s="164" t="str">
        <f t="shared" si="7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4"/>
        <v>0</v>
      </c>
      <c r="AV26" s="163">
        <f t="shared" si="5"/>
        <v>0</v>
      </c>
      <c r="AW26" s="163" t="str">
        <f t="shared" si="6"/>
        <v>ziadne akva</v>
      </c>
      <c r="AX26" s="164" t="str">
        <f t="shared" si="7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4"/>
        <v>0</v>
      </c>
      <c r="AV27" s="163">
        <f t="shared" si="5"/>
        <v>0</v>
      </c>
      <c r="AW27" s="163" t="str">
        <f t="shared" si="6"/>
        <v>ziadne akva</v>
      </c>
      <c r="AX27" s="164" t="str">
        <f t="shared" si="7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4"/>
        <v>0</v>
      </c>
      <c r="AV28" s="165">
        <f t="shared" si="5"/>
        <v>0</v>
      </c>
      <c r="AW28" s="165" t="str">
        <f t="shared" si="6"/>
        <v>ziadne akva</v>
      </c>
      <c r="AX28" s="166" t="str">
        <f t="shared" ref="AX28:AX33" si="8">IF($AX$78=0,"ziadne akva",IF($D$43=0,"ziadny roztok",IF($D$51=0,"ziadna davka",((AU27*$D$51)/($AX$78*1000)))))</f>
        <v>ziadne akva</v>
      </c>
      <c r="AY28" s="45"/>
      <c r="AZ28" s="46"/>
    </row>
    <row r="29" spans="1:52" ht="1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0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0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4"/>
        <v>0</v>
      </c>
      <c r="AV29" s="167">
        <f t="shared" si="5"/>
        <v>0</v>
      </c>
      <c r="AW29" s="167" t="str">
        <f t="shared" si="6"/>
        <v>ziadne akva</v>
      </c>
      <c r="AX29" s="168" t="str">
        <f t="shared" si="8"/>
        <v>ziadne akva</v>
      </c>
      <c r="AY29" s="45"/>
      <c r="AZ29" s="46"/>
    </row>
    <row r="30" spans="1:52" ht="1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4"/>
        <v>0</v>
      </c>
      <c r="AV30" s="163">
        <f t="shared" si="5"/>
        <v>0</v>
      </c>
      <c r="AW30" s="163" t="str">
        <f t="shared" si="6"/>
        <v>ziadne akva</v>
      </c>
      <c r="AX30" s="164" t="str">
        <f t="shared" si="8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0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4"/>
        <v>0</v>
      </c>
      <c r="AV31" s="163">
        <f t="shared" si="5"/>
        <v>0</v>
      </c>
      <c r="AW31" s="163" t="str">
        <f t="shared" si="6"/>
        <v>ziadne akva</v>
      </c>
      <c r="AX31" s="164" t="str">
        <f t="shared" si="8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4"/>
        <v>0</v>
      </c>
      <c r="AV32" s="163">
        <f t="shared" si="5"/>
        <v>0</v>
      </c>
      <c r="AW32" s="163" t="str">
        <f t="shared" si="6"/>
        <v>ziadne akva</v>
      </c>
      <c r="AX32" s="164" t="str">
        <f t="shared" si="8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4"/>
        <v>0</v>
      </c>
      <c r="AV33" s="163">
        <f t="shared" si="5"/>
        <v>0</v>
      </c>
      <c r="AW33" s="163" t="str">
        <f t="shared" si="6"/>
        <v>ziadne akva</v>
      </c>
      <c r="AX33" s="164" t="str">
        <f t="shared" si="8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0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" customHeight="1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ht="15" customHeight="1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489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2.6</v>
      </c>
      <c r="E40" s="112" t="s">
        <v>56</v>
      </c>
      <c r="F40" s="126">
        <f>SUM(F3:F21)</f>
        <v>0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>
        <v>250</v>
      </c>
      <c r="E43" s="442">
        <f>E44/'pomocne tabulky'!Q23</f>
        <v>250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D44+SUM(J34:AE34)</f>
        <v>249.5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13.849354547917102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x14ac:dyDescent="0.25">
      <c r="A47" s="439" t="s">
        <v>135</v>
      </c>
      <c r="B47" s="439"/>
      <c r="C47" s="439"/>
      <c r="D47" s="440">
        <v>5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>
        <v>5</v>
      </c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36:C36"/>
    <mergeCell ref="A37:C37"/>
    <mergeCell ref="A31:C31"/>
    <mergeCell ref="A32:C32"/>
    <mergeCell ref="A33:C33"/>
    <mergeCell ref="A34:C34"/>
    <mergeCell ref="A35:C35"/>
    <mergeCell ref="A38:C38"/>
    <mergeCell ref="A39:C39"/>
    <mergeCell ref="A40:C40"/>
    <mergeCell ref="A42:C42"/>
    <mergeCell ref="E42:F42"/>
    <mergeCell ref="A43:C43"/>
    <mergeCell ref="E43:F43"/>
    <mergeCell ref="A44:C44"/>
    <mergeCell ref="A25:C25"/>
    <mergeCell ref="A28:C28"/>
    <mergeCell ref="A29:C29"/>
    <mergeCell ref="A27:C27"/>
    <mergeCell ref="A30:C30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3:C23"/>
    <mergeCell ref="AU1:AU2"/>
    <mergeCell ref="AV1:AV2"/>
    <mergeCell ref="AW1:AW2"/>
    <mergeCell ref="AX1:AX2"/>
    <mergeCell ref="A26:C26"/>
    <mergeCell ref="A7:C7"/>
    <mergeCell ref="A1:F1"/>
    <mergeCell ref="H1:H2"/>
    <mergeCell ref="I1:I2"/>
    <mergeCell ref="J1:AE1"/>
    <mergeCell ref="A5:C5"/>
    <mergeCell ref="A6:C6"/>
    <mergeCell ref="A2:C2"/>
    <mergeCell ref="A3:C3"/>
    <mergeCell ref="A4:C4"/>
    <mergeCell ref="AF1:AT1"/>
    <mergeCell ref="A49:C50"/>
    <mergeCell ref="D49:D50"/>
    <mergeCell ref="A51:C52"/>
    <mergeCell ref="D51:D52"/>
    <mergeCell ref="E44:F44"/>
    <mergeCell ref="A45:C45"/>
    <mergeCell ref="E45:F45"/>
    <mergeCell ref="A47:C48"/>
    <mergeCell ref="D47:D48"/>
  </mergeCells>
  <conditionalFormatting sqref="A47:C48 AV1:AV2 AV77">
    <cfRule type="expression" dxfId="41" priority="23">
      <formula>$AV$78</formula>
    </cfRule>
  </conditionalFormatting>
  <conditionalFormatting sqref="A49:C50 AW1:AW2 AW77">
    <cfRule type="expression" dxfId="40" priority="22">
      <formula>$AW$78</formula>
    </cfRule>
  </conditionalFormatting>
  <conditionalFormatting sqref="A51:C52 AX77 AX1:AX2">
    <cfRule type="expression" dxfId="39" priority="21">
      <formula>$AX$78</formula>
    </cfRule>
  </conditionalFormatting>
  <conditionalFormatting sqref="AX3:AX35 D51:D52">
    <cfRule type="expression" dxfId="38" priority="20">
      <formula>($AX$78=0)</formula>
    </cfRule>
  </conditionalFormatting>
  <conditionalFormatting sqref="AW3:AW35 D49:D50">
    <cfRule type="expression" dxfId="37" priority="19">
      <formula>($AW$78=0)</formula>
    </cfRule>
  </conditionalFormatting>
  <conditionalFormatting sqref="AV22:AV35 AV3:AW21 D47:D48">
    <cfRule type="expression" dxfId="36" priority="18">
      <formula>($AV$78=0)</formula>
    </cfRule>
  </conditionalFormatting>
  <conditionalFormatting sqref="AX22:AX35">
    <cfRule type="expression" dxfId="35" priority="17">
      <formula>($AX$78=0)</formula>
    </cfRule>
  </conditionalFormatting>
  <conditionalFormatting sqref="AW22:AW35">
    <cfRule type="expression" dxfId="34" priority="16">
      <formula>($AW$78=0)</formula>
    </cfRule>
  </conditionalFormatting>
  <conditionalFormatting sqref="AX22:AX33">
    <cfRule type="expression" dxfId="33" priority="15">
      <formula>($AX$78=0)</formula>
    </cfRule>
  </conditionalFormatting>
  <conditionalFormatting sqref="AW22:AW33">
    <cfRule type="expression" dxfId="32" priority="14">
      <formula>($AW$78=0)</formula>
    </cfRule>
  </conditionalFormatting>
  <conditionalFormatting sqref="AX22:AX33">
    <cfRule type="expression" dxfId="31" priority="13">
      <formula>($AX$78=0)</formula>
    </cfRule>
  </conditionalFormatting>
  <conditionalFormatting sqref="AW22:AW33">
    <cfRule type="expression" dxfId="30" priority="12">
      <formula>($AW$78=0)</formula>
    </cfRule>
  </conditionalFormatting>
  <conditionalFormatting sqref="AW22:AW33">
    <cfRule type="expression" dxfId="29" priority="11">
      <formula>($AV$78=0)</formula>
    </cfRule>
  </conditionalFormatting>
  <conditionalFormatting sqref="AW22:AW33">
    <cfRule type="expression" dxfId="28" priority="10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3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78"/>
  <sheetViews>
    <sheetView zoomScale="85" zoomScaleNormal="85" workbookViewId="0">
      <pane ySplit="2" topLeftCell="A3" activePane="bottomLeft" state="frozen"/>
      <selection activeCell="D42" sqref="D42"/>
      <selection pane="bottomLeft" activeCell="D3" sqref="D3"/>
    </sheetView>
  </sheetViews>
  <sheetFormatPr defaultColWidth="9.140625" defaultRowHeight="15" x14ac:dyDescent="0.25"/>
  <cols>
    <col min="1" max="1" width="10.85546875" style="46" customWidth="1"/>
    <col min="2" max="2" width="3.28515625" style="46" customWidth="1"/>
    <col min="3" max="3" width="4.140625" style="46" customWidth="1"/>
    <col min="4" max="4" width="11.28515625" style="46" customWidth="1"/>
    <col min="5" max="5" width="9.140625" style="46"/>
    <col min="6" max="6" width="11.28515625" style="46" customWidth="1"/>
    <col min="7" max="7" width="2.7109375" style="46" customWidth="1"/>
    <col min="8" max="8" width="9.140625" style="46" customWidth="1"/>
    <col min="9" max="9" width="9.140625" style="46" hidden="1" customWidth="1"/>
    <col min="10" max="31" width="3.85546875" style="46" hidden="1" customWidth="1"/>
    <col min="32" max="46" width="5.42578125" style="46" hidden="1" customWidth="1"/>
    <col min="47" max="47" width="11.42578125" style="46" customWidth="1"/>
    <col min="48" max="50" width="11.85546875" style="46" customWidth="1"/>
    <col min="51" max="51" width="11.7109375" style="46" bestFit="1" customWidth="1"/>
    <col min="52" max="52" width="10.7109375" style="25" bestFit="1" customWidth="1"/>
    <col min="53" max="16384" width="9.140625" style="46"/>
  </cols>
  <sheetData>
    <row r="1" spans="1:52" ht="15.75" thickBot="1" x14ac:dyDescent="0.3">
      <c r="A1" s="463" t="s">
        <v>147</v>
      </c>
      <c r="B1" s="463"/>
      <c r="C1" s="463"/>
      <c r="D1" s="463"/>
      <c r="E1" s="463"/>
      <c r="F1" s="463"/>
      <c r="G1" s="44"/>
      <c r="H1" s="464" t="s">
        <v>10</v>
      </c>
      <c r="I1" s="466" t="s">
        <v>199</v>
      </c>
      <c r="J1" s="461" t="s">
        <v>104</v>
      </c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2"/>
      <c r="AF1" s="461" t="s">
        <v>258</v>
      </c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2"/>
      <c r="AU1" s="453" t="s">
        <v>49</v>
      </c>
      <c r="AV1" s="455" t="s">
        <v>154</v>
      </c>
      <c r="AW1" s="455" t="s">
        <v>155</v>
      </c>
      <c r="AX1" s="457" t="s">
        <v>156</v>
      </c>
      <c r="AY1" s="45"/>
      <c r="AZ1" s="46"/>
    </row>
    <row r="2" spans="1:52" ht="64.5" thickBot="1" x14ac:dyDescent="0.3">
      <c r="A2" s="468" t="s">
        <v>47</v>
      </c>
      <c r="B2" s="469"/>
      <c r="C2" s="469"/>
      <c r="D2" s="200" t="s">
        <v>48</v>
      </c>
      <c r="E2" s="200" t="s">
        <v>52</v>
      </c>
      <c r="F2" s="47" t="s">
        <v>53</v>
      </c>
      <c r="G2" s="48"/>
      <c r="H2" s="465"/>
      <c r="I2" s="467"/>
      <c r="J2" s="229" t="str">
        <f>'pomocne tabulky'!A3</f>
        <v>MgSO4*7H2O</v>
      </c>
      <c r="K2" s="143" t="str">
        <f>'pomocne tabulky'!A4</f>
        <v>MgSO4</v>
      </c>
      <c r="L2" s="143" t="str">
        <f>'pomocne tabulky'!A5</f>
        <v>CaSO4*2H2O</v>
      </c>
      <c r="M2" s="143" t="str">
        <f>'pomocne tabulky'!A6</f>
        <v>CaSO4</v>
      </c>
      <c r="N2" s="143" t="str">
        <f>'pomocne tabulky'!A7</f>
        <v>KCl</v>
      </c>
      <c r="O2" s="143" t="str">
        <f>'pomocne tabulky'!A8</f>
        <v>K2SO4</v>
      </c>
      <c r="P2" s="143" t="str">
        <f>'pomocne tabulky'!A9</f>
        <v>KNO3</v>
      </c>
      <c r="Q2" s="143" t="str">
        <f>'pomocne tabulky'!A10</f>
        <v>FeSO4*7H2O</v>
      </c>
      <c r="R2" s="143" t="str">
        <f>'pomocne tabulky'!A11</f>
        <v>H3BO3</v>
      </c>
      <c r="S2" s="143" t="str">
        <f>'pomocne tabulky'!A12</f>
        <v>KH2PO4</v>
      </c>
      <c r="T2" s="143" t="str">
        <f>'pomocne tabulky'!A13</f>
        <v>NaCl</v>
      </c>
      <c r="U2" s="143" t="str">
        <f>'pomocne tabulky'!A14</f>
        <v>NH4NO3</v>
      </c>
      <c r="V2" s="143" t="str">
        <f>A15</f>
        <v>Ca(NO3)2*4H2O</v>
      </c>
      <c r="W2" s="143" t="str">
        <f>A16</f>
        <v>Mg(NO3)2*6H2O</v>
      </c>
      <c r="X2" s="143" t="str">
        <f>A17</f>
        <v>CH4N2O (urea)</v>
      </c>
      <c r="Y2" s="143" t="s">
        <v>105</v>
      </c>
      <c r="Z2" s="143" t="s">
        <v>109</v>
      </c>
      <c r="AA2" s="143" t="s">
        <v>115</v>
      </c>
      <c r="AB2" s="143" t="s">
        <v>116</v>
      </c>
      <c r="AC2" s="143" t="s">
        <v>333</v>
      </c>
      <c r="AD2" s="143" t="s">
        <v>5</v>
      </c>
      <c r="AE2" s="230" t="s">
        <v>110</v>
      </c>
      <c r="AF2" s="229" t="s">
        <v>241</v>
      </c>
      <c r="AG2" s="143" t="s">
        <v>242</v>
      </c>
      <c r="AH2" s="143" t="s">
        <v>255</v>
      </c>
      <c r="AI2" s="143" t="s">
        <v>256</v>
      </c>
      <c r="AJ2" s="143" t="s">
        <v>257</v>
      </c>
      <c r="AK2" s="207" t="s">
        <v>289</v>
      </c>
      <c r="AL2" s="143" t="s">
        <v>301</v>
      </c>
      <c r="AM2" s="207" t="str">
        <f>A32</f>
        <v>TPN (Tropica Plant Nutrition)</v>
      </c>
      <c r="AN2" s="207" t="str">
        <f>A33</f>
        <v>TPN+ (Tropica Plant Nutrition+)</v>
      </c>
      <c r="AO2" s="143" t="str">
        <f>A34</f>
        <v>ADA G. B. STEP-1</v>
      </c>
      <c r="AP2" s="143" t="str">
        <f>A35</f>
        <v>ADA G. B. STEP-2</v>
      </c>
      <c r="AQ2" s="143" t="str">
        <f>A36</f>
        <v>ADA G. B. STEP-3</v>
      </c>
      <c r="AR2" s="143" t="str">
        <f>A37</f>
        <v>ADA Brighty-K</v>
      </c>
      <c r="AS2" s="143" t="str">
        <f>A38</f>
        <v>ADA G. B. Special LIGHTS</v>
      </c>
      <c r="AT2" s="230" t="str">
        <f>A39</f>
        <v>ADA G. B. Special SHADE</v>
      </c>
      <c r="AU2" s="454"/>
      <c r="AV2" s="456"/>
      <c r="AW2" s="456"/>
      <c r="AX2" s="458"/>
      <c r="AY2" s="45"/>
      <c r="AZ2" s="46"/>
    </row>
    <row r="3" spans="1:52" ht="15" customHeight="1" x14ac:dyDescent="0.25">
      <c r="A3" s="470" t="str">
        <f>'pomocne tabulky'!A3:C3</f>
        <v>MgSO4*7H2O</v>
      </c>
      <c r="B3" s="471"/>
      <c r="C3" s="471"/>
      <c r="D3" s="296">
        <v>8.1999999999999993</v>
      </c>
      <c r="E3" s="109">
        <f>D3/'pomocne tabulky'!D3</f>
        <v>3.3269828533795405E-2</v>
      </c>
      <c r="F3" s="113">
        <f>IF(D3=0, 0, ((100/'pomocne tabulky'!$Q$23)/('pomocne tabulky'!G3/D3)))</f>
        <v>6.9986651326503084</v>
      </c>
      <c r="G3" s="114"/>
      <c r="H3" s="144" t="str">
        <f>'pomocne tabulky'!K3</f>
        <v>Mg</v>
      </c>
      <c r="I3" s="259">
        <f>'pomocne tabulky'!L3</f>
        <v>24.305</v>
      </c>
      <c r="J3" s="251">
        <f>E3*I3</f>
        <v>0.80862318251389731</v>
      </c>
      <c r="K3" s="145">
        <f>E4*I3</f>
        <v>0</v>
      </c>
      <c r="L3" s="146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5">
        <f>I3*E16</f>
        <v>0</v>
      </c>
      <c r="X3" s="147"/>
      <c r="Y3" s="147"/>
      <c r="Z3" s="147"/>
      <c r="AA3" s="147"/>
      <c r="AB3" s="147"/>
      <c r="AC3" s="147"/>
      <c r="AD3" s="145">
        <f>D23*'pomocne tabulky'!Q9/100</f>
        <v>0</v>
      </c>
      <c r="AE3" s="242"/>
      <c r="AF3" s="231">
        <f>IF(D25, 'pomocne tabulky'!V5, 0)</f>
        <v>0</v>
      </c>
      <c r="AG3" s="185"/>
      <c r="AH3" s="185"/>
      <c r="AI3" s="185"/>
      <c r="AJ3" s="185"/>
      <c r="AK3" s="221">
        <f>IF(D30, 'pomocne tabulky'!AE16, 0)</f>
        <v>0</v>
      </c>
      <c r="AL3" s="185"/>
      <c r="AM3" s="206">
        <f>IF(D32, 'pomocne tabulky'!AE45, 0)</f>
        <v>0</v>
      </c>
      <c r="AN3" s="206">
        <f>IF(D33, 'pomocne tabulky'!AE29, 0)</f>
        <v>0</v>
      </c>
      <c r="AO3" s="185"/>
      <c r="AP3" s="185"/>
      <c r="AQ3" s="185"/>
      <c r="AR3" s="185"/>
      <c r="AS3" s="185"/>
      <c r="AT3" s="271"/>
      <c r="AU3" s="266">
        <f t="shared" ref="AU3:AU21" si="0">IF($D$43=0, "---", SUM(AF3:AT3)+(SUM(J3:AE3)*1000)/($E$43/1000))</f>
        <v>3181.0014566083933</v>
      </c>
      <c r="AV3" s="161">
        <f t="shared" ref="AV3:AV21" si="1">IF($AV$78=0,"ziadne akva",IF($D$43=0,"ziadny roztok",IF($D$47=0,"ziadna davka",((AU3*$D$47)/($AV$78*1000)))))</f>
        <v>2.0196834645132657</v>
      </c>
      <c r="AW3" s="161" t="str">
        <f>IF($AW$78=0,"ziadne akva",IF($D$43=0,"ziadny roztok",IF($D$49=0,"ziadna davka",((AU3*$D$49)/($AW$78*1000)))))</f>
        <v>ziadne akva</v>
      </c>
      <c r="AX3" s="162" t="str">
        <f>IF($AX$78=0,"ziadne akva",IF($D$43=0,"ziadny roztok",IF($D$51=0,"ziadna davka",((AU3*$D$51)/($AX$78*1000)))))</f>
        <v>ziadne akva</v>
      </c>
      <c r="AY3" s="45"/>
      <c r="AZ3" s="46"/>
    </row>
    <row r="4" spans="1:52" ht="15" customHeight="1" x14ac:dyDescent="0.25">
      <c r="A4" s="444" t="str">
        <f>'pomocne tabulky'!A4:C4</f>
        <v>MgSO4</v>
      </c>
      <c r="B4" s="445"/>
      <c r="C4" s="445"/>
      <c r="D4" s="295"/>
      <c r="E4" s="110">
        <f>D4/'pomocne tabulky'!D4</f>
        <v>0</v>
      </c>
      <c r="F4" s="115">
        <f>IF(D4=0, 0, ((100/'pomocne tabulky'!$Q$23)/('pomocne tabulky'!G4/D4)))</f>
        <v>0</v>
      </c>
      <c r="G4" s="114"/>
      <c r="H4" s="148" t="str">
        <f>'pomocne tabulky'!K4</f>
        <v>S</v>
      </c>
      <c r="I4" s="260">
        <f>'pomocne tabulky'!L4</f>
        <v>32.06</v>
      </c>
      <c r="J4" s="252">
        <f>I4*E3</f>
        <v>1.0666307027934807</v>
      </c>
      <c r="K4" s="116">
        <f>I4*E4</f>
        <v>0</v>
      </c>
      <c r="L4" s="116">
        <f>I4*E5</f>
        <v>0</v>
      </c>
      <c r="M4" s="116">
        <f>I4*E6</f>
        <v>0</v>
      </c>
      <c r="N4" s="117"/>
      <c r="O4" s="116">
        <f>I4*E8</f>
        <v>0.34956976646760884</v>
      </c>
      <c r="P4" s="117"/>
      <c r="Q4" s="116">
        <f>I4*E10</f>
        <v>0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243"/>
      <c r="AF4" s="232"/>
      <c r="AG4" s="186"/>
      <c r="AH4" s="186"/>
      <c r="AI4" s="186"/>
      <c r="AJ4" s="186"/>
      <c r="AK4" s="222">
        <f>IF(D30, 'pomocne tabulky'!AE20, 0)</f>
        <v>0</v>
      </c>
      <c r="AL4" s="186"/>
      <c r="AM4" s="190">
        <f>IF(D32, 'pomocne tabulky'!AE43, 0)</f>
        <v>0</v>
      </c>
      <c r="AN4" s="190">
        <f>IF(D33, 'pomocne tabulky'!AE27, 0)</f>
        <v>0</v>
      </c>
      <c r="AO4" s="186"/>
      <c r="AP4" s="186"/>
      <c r="AQ4" s="186"/>
      <c r="AR4" s="186"/>
      <c r="AS4" s="186"/>
      <c r="AT4" s="272"/>
      <c r="AU4" s="267">
        <f t="shared" si="0"/>
        <v>5571.1187274693202</v>
      </c>
      <c r="AV4" s="163">
        <f t="shared" si="1"/>
        <v>3.5372182396630607</v>
      </c>
      <c r="AW4" s="163" t="str">
        <f t="shared" ref="AW4:AW21" si="2">IF($AW$78=0,"ziadne akva",IF($D$43=0,"ziadny roztok",IF($D$49=0,"ziadna davka",((AU4*$D$49)/($AW$78*1000)))))</f>
        <v>ziadne akva</v>
      </c>
      <c r="AX4" s="164" t="str">
        <f>IF($AX$78=0,"ziadne akva",IF($D$43=0,"ziadny roztok",IF($D$51=0,"ziadna davka",((AU4*$D$51)/($AX$78*1000)))))</f>
        <v>ziadne akva</v>
      </c>
      <c r="AY4" s="45"/>
      <c r="AZ4" s="46"/>
    </row>
    <row r="5" spans="1:52" ht="15" customHeight="1" x14ac:dyDescent="0.25">
      <c r="A5" s="444" t="str">
        <f>'pomocne tabulky'!A5:C5</f>
        <v>CaSO4*2H2O</v>
      </c>
      <c r="B5" s="445"/>
      <c r="C5" s="445"/>
      <c r="D5" s="295"/>
      <c r="E5" s="110">
        <f>D5/'pomocne tabulky'!D5</f>
        <v>0</v>
      </c>
      <c r="F5" s="115">
        <f>IF(D5=0, 0, ((100/'pomocne tabulky'!$Q$23)/('pomocne tabulky'!G5/D5)))</f>
        <v>0</v>
      </c>
      <c r="G5" s="114"/>
      <c r="H5" s="148" t="str">
        <f>'pomocne tabulky'!K5</f>
        <v>O</v>
      </c>
      <c r="I5" s="260">
        <f>'pomocne tabulky'!L5</f>
        <v>15.9994</v>
      </c>
      <c r="J5" s="252">
        <f>I5*E3*(7+4)</f>
        <v>5.8552702410796682</v>
      </c>
      <c r="K5" s="116">
        <f>I5*E4*4</f>
        <v>0</v>
      </c>
      <c r="L5" s="116">
        <f>6*I5*E5</f>
        <v>0</v>
      </c>
      <c r="M5" s="116">
        <f>4*I5*E6</f>
        <v>0</v>
      </c>
      <c r="N5" s="117"/>
      <c r="O5" s="116">
        <f>I5*E8*4</f>
        <v>0.69780493095718776</v>
      </c>
      <c r="P5" s="116">
        <f>I5*E9*3</f>
        <v>1.9939273930004191</v>
      </c>
      <c r="Q5" s="116">
        <f>I5*E10*(4+7)</f>
        <v>0</v>
      </c>
      <c r="R5" s="116">
        <f>I5*E11*3</f>
        <v>0</v>
      </c>
      <c r="S5" s="116">
        <f>I5*E12*4</f>
        <v>0.17400167571073311</v>
      </c>
      <c r="T5" s="117"/>
      <c r="U5" s="116">
        <f>I5*E14*3</f>
        <v>0</v>
      </c>
      <c r="V5" s="116">
        <f>I5*E15*(6+4)</f>
        <v>0</v>
      </c>
      <c r="W5" s="116">
        <f>I5*E16*(6+6)</f>
        <v>0</v>
      </c>
      <c r="X5" s="116">
        <f>I5*E17</f>
        <v>0</v>
      </c>
      <c r="Y5" s="117"/>
      <c r="Z5" s="117"/>
      <c r="AA5" s="117"/>
      <c r="AB5" s="117"/>
      <c r="AC5" s="117"/>
      <c r="AD5" s="117"/>
      <c r="AE5" s="243"/>
      <c r="AF5" s="232"/>
      <c r="AG5" s="186"/>
      <c r="AH5" s="186"/>
      <c r="AI5" s="190">
        <f>IF(D28, 'pomocne tabulky'!V29, 0)</f>
        <v>0</v>
      </c>
      <c r="AJ5" s="190">
        <f>IF(D29, 'pomocne tabulky'!V35, 0)</f>
        <v>0</v>
      </c>
      <c r="AK5" s="222">
        <f>IF(D30, 'pomocne tabulky'!AE13, 0)</f>
        <v>0</v>
      </c>
      <c r="AL5" s="219">
        <f>IF(D31, 'pomocne tabulky'!AE61, 0)</f>
        <v>0</v>
      </c>
      <c r="AM5" s="186"/>
      <c r="AN5" s="186"/>
      <c r="AO5" s="186"/>
      <c r="AP5" s="186"/>
      <c r="AQ5" s="186"/>
      <c r="AR5" s="186"/>
      <c r="AS5" s="190">
        <f>IF(D38, 'pomocne tabulky'!Z53, 0)</f>
        <v>0</v>
      </c>
      <c r="AT5" s="273">
        <f>IF(D39, 'pomocne tabulky'!Z64, 0)</f>
        <v>0</v>
      </c>
      <c r="AU5" s="267">
        <f t="shared" si="0"/>
        <v>34307.113366033882</v>
      </c>
      <c r="AV5" s="163">
        <f t="shared" si="1"/>
        <v>21.782294200656434</v>
      </c>
      <c r="AW5" s="163" t="str">
        <f t="shared" si="2"/>
        <v>ziadne akva</v>
      </c>
      <c r="AX5" s="164" t="str">
        <f t="shared" ref="AX5:AX21" si="3">IF($AX$78=0,"ziadne akva",IF($D$43=0,"ziadny roztok",IF($D$51=0,"ziadna davka",((AU5*$D$51)/($AX$78*1000)))))</f>
        <v>ziadne akva</v>
      </c>
      <c r="AY5" s="45"/>
      <c r="AZ5" s="46"/>
    </row>
    <row r="6" spans="1:52" ht="15" customHeight="1" x14ac:dyDescent="0.25">
      <c r="A6" s="444" t="str">
        <f>'pomocne tabulky'!A6:C6</f>
        <v>CaSO4</v>
      </c>
      <c r="B6" s="445"/>
      <c r="C6" s="445"/>
      <c r="D6" s="295"/>
      <c r="E6" s="110">
        <f>D6/'pomocne tabulky'!D6</f>
        <v>0</v>
      </c>
      <c r="F6" s="115">
        <f>IF(D6=0, 0, ((100/'pomocne tabulky'!$Q$23)/('pomocne tabulky'!G6/D6)))</f>
        <v>0</v>
      </c>
      <c r="G6" s="114"/>
      <c r="H6" s="148" t="str">
        <f>'pomocne tabulky'!K6</f>
        <v>H</v>
      </c>
      <c r="I6" s="260">
        <f>'pomocne tabulky'!L6</f>
        <v>1.0079400000000001</v>
      </c>
      <c r="J6" s="252">
        <f>I6*E3*14</f>
        <v>0.46947587361295245</v>
      </c>
      <c r="K6" s="117"/>
      <c r="L6" s="116">
        <f>4*I6*E5</f>
        <v>0</v>
      </c>
      <c r="M6" s="118"/>
      <c r="N6" s="117"/>
      <c r="O6" s="117"/>
      <c r="P6" s="117"/>
      <c r="Q6" s="116">
        <f>I6*E10*14</f>
        <v>0</v>
      </c>
      <c r="R6" s="116">
        <f>I6*E11*3</f>
        <v>0</v>
      </c>
      <c r="S6" s="116">
        <f>I6*E12*2</f>
        <v>5.4809320666986371E-3</v>
      </c>
      <c r="T6" s="117"/>
      <c r="U6" s="116">
        <f>I6*E14*4</f>
        <v>0</v>
      </c>
      <c r="V6" s="116">
        <f>I6*E15*8</f>
        <v>0</v>
      </c>
      <c r="W6" s="116">
        <f>I6*E16*12</f>
        <v>0</v>
      </c>
      <c r="X6" s="116">
        <f>I6*E17*4</f>
        <v>0</v>
      </c>
      <c r="Y6" s="117"/>
      <c r="Z6" s="117"/>
      <c r="AA6" s="117"/>
      <c r="AB6" s="117"/>
      <c r="AC6" s="117"/>
      <c r="AD6" s="117"/>
      <c r="AE6" s="243"/>
      <c r="AF6" s="232"/>
      <c r="AG6" s="186"/>
      <c r="AH6" s="186"/>
      <c r="AI6" s="186"/>
      <c r="AJ6" s="186"/>
      <c r="AK6" s="222">
        <f>IF(D30, 'pomocne tabulky'!AE11, 0)</f>
        <v>0</v>
      </c>
      <c r="AL6" s="220"/>
      <c r="AM6" s="186"/>
      <c r="AN6" s="186"/>
      <c r="AO6" s="186"/>
      <c r="AP6" s="186"/>
      <c r="AQ6" s="186"/>
      <c r="AR6" s="186"/>
      <c r="AS6" s="190">
        <f>IF(D38, 'pomocne tabulky'!Z55, 0)</f>
        <v>0</v>
      </c>
      <c r="AT6" s="273">
        <f>IF(D39, 'pomocne tabulky'!Z66, 0)</f>
        <v>0</v>
      </c>
      <c r="AU6" s="267">
        <f t="shared" si="0"/>
        <v>1868.4083308075005</v>
      </c>
      <c r="AV6" s="163">
        <f t="shared" si="1"/>
        <v>1.186291003687302</v>
      </c>
      <c r="AW6" s="163" t="str">
        <f t="shared" si="2"/>
        <v>ziadne akva</v>
      </c>
      <c r="AX6" s="164" t="str">
        <f t="shared" si="3"/>
        <v>ziadne akva</v>
      </c>
      <c r="AY6" s="45"/>
      <c r="AZ6" s="46"/>
    </row>
    <row r="7" spans="1:52" ht="15" customHeight="1" x14ac:dyDescent="0.25">
      <c r="A7" s="444" t="str">
        <f>'pomocne tabulky'!A7:C7</f>
        <v>KCl</v>
      </c>
      <c r="B7" s="445"/>
      <c r="C7" s="445"/>
      <c r="D7" s="295"/>
      <c r="E7" s="110">
        <f>D7/'pomocne tabulky'!D7</f>
        <v>0</v>
      </c>
      <c r="F7" s="115">
        <f>IF(D7=0, 0, ((100/'pomocne tabulky'!$Q$23)/('pomocne tabulky'!G7/D7)))</f>
        <v>0</v>
      </c>
      <c r="G7" s="114"/>
      <c r="H7" s="148" t="str">
        <f>'pomocne tabulky'!K7</f>
        <v>K</v>
      </c>
      <c r="I7" s="260">
        <f>'pomocne tabulky'!L7</f>
        <v>39.098300000000002</v>
      </c>
      <c r="J7" s="253"/>
      <c r="K7" s="117"/>
      <c r="L7" s="118"/>
      <c r="M7" s="118"/>
      <c r="N7" s="116">
        <f>I7*E7</f>
        <v>0</v>
      </c>
      <c r="O7" s="116">
        <f>I7*E8*2</f>
        <v>0.85262530257520341</v>
      </c>
      <c r="P7" s="116">
        <f>I7*E9</f>
        <v>1.6242103118397835</v>
      </c>
      <c r="Q7" s="117"/>
      <c r="R7" s="117"/>
      <c r="S7" s="116">
        <f>I7*E12</f>
        <v>0.10630351321676058</v>
      </c>
      <c r="T7" s="117"/>
      <c r="U7" s="117"/>
      <c r="V7" s="118"/>
      <c r="W7" s="118"/>
      <c r="X7" s="118"/>
      <c r="Y7" s="117"/>
      <c r="Z7" s="117"/>
      <c r="AA7" s="117"/>
      <c r="AB7" s="117"/>
      <c r="AC7" s="117"/>
      <c r="AD7" s="117"/>
      <c r="AE7" s="243"/>
      <c r="AF7" s="233">
        <f>IF(D25, 'pomocne tabulky'!V4, 0)</f>
        <v>0</v>
      </c>
      <c r="AG7" s="186"/>
      <c r="AH7" s="187">
        <f>IF(D27, 'pomocne tabulky'!V25, 0)</f>
        <v>0</v>
      </c>
      <c r="AI7" s="190">
        <f>IF(D28, 'pomocne tabulky'!V31, 0)</f>
        <v>0</v>
      </c>
      <c r="AJ7" s="186"/>
      <c r="AK7" s="222">
        <f>IF(D30, 'pomocne tabulky'!AE19, 0)</f>
        <v>0</v>
      </c>
      <c r="AL7" s="219">
        <f>IF(D31, 'pomocne tabulky'!AE60, 0)</f>
        <v>0</v>
      </c>
      <c r="AM7" s="190">
        <f>IF(D32, 'pomocne tabulky'!AE44, 0)</f>
        <v>0</v>
      </c>
      <c r="AN7" s="190">
        <f>IF(D33, 'pomocne tabulky'!AE28, 0)</f>
        <v>0</v>
      </c>
      <c r="AO7" s="190">
        <f>IF(D34, 'pomocne tabulky'!Z3, 0)</f>
        <v>0</v>
      </c>
      <c r="AP7" s="190">
        <f>IF(D35, 'pomocne tabulky'!Z14, 0)</f>
        <v>0</v>
      </c>
      <c r="AQ7" s="190">
        <f>IF(D36, 'pomocne tabulky'!Z25, 0)</f>
        <v>0</v>
      </c>
      <c r="AR7" s="190">
        <f>IF(D37, 'pomocne tabulky'!Z36, 0)</f>
        <v>0</v>
      </c>
      <c r="AS7" s="190">
        <f>IF(D38, 'pomocne tabulky'!Z47, 0)</f>
        <v>0</v>
      </c>
      <c r="AT7" s="273">
        <f>IF(D39, 'pomocne tabulky'!Z58, 0)</f>
        <v>0</v>
      </c>
      <c r="AU7" s="267">
        <f t="shared" si="0"/>
        <v>10161.679142160265</v>
      </c>
      <c r="AV7" s="163">
        <f t="shared" si="1"/>
        <v>6.4518597728001685</v>
      </c>
      <c r="AW7" s="163" t="str">
        <f t="shared" si="2"/>
        <v>ziadne akva</v>
      </c>
      <c r="AX7" s="164" t="str">
        <f t="shared" si="3"/>
        <v>ziadne akva</v>
      </c>
      <c r="AY7" s="45"/>
      <c r="AZ7" s="46"/>
    </row>
    <row r="8" spans="1:52" ht="15" customHeight="1" x14ac:dyDescent="0.25">
      <c r="A8" s="444" t="str">
        <f>'pomocne tabulky'!A8:C8</f>
        <v>K2SO4</v>
      </c>
      <c r="B8" s="445"/>
      <c r="C8" s="445"/>
      <c r="D8" s="295">
        <v>1.9</v>
      </c>
      <c r="E8" s="110">
        <f>D8/'pomocne tabulky'!D8</f>
        <v>1.0903610931615995E-2</v>
      </c>
      <c r="F8" s="115">
        <f>IF(D8=0, 0, ((100/'pomocne tabulky'!$Q$23)/('pomocne tabulky'!G8/D8)))</f>
        <v>17.135982135287676</v>
      </c>
      <c r="G8" s="114"/>
      <c r="H8" s="148" t="str">
        <f>'pomocne tabulky'!K8</f>
        <v>Cl</v>
      </c>
      <c r="I8" s="260">
        <f>'pomocne tabulky'!L8</f>
        <v>35.4527</v>
      </c>
      <c r="J8" s="253"/>
      <c r="K8" s="117"/>
      <c r="L8" s="118"/>
      <c r="M8" s="118"/>
      <c r="N8" s="116">
        <f>I8*E7</f>
        <v>0</v>
      </c>
      <c r="O8" s="117"/>
      <c r="P8" s="117"/>
      <c r="Q8" s="117"/>
      <c r="R8" s="117"/>
      <c r="S8" s="117"/>
      <c r="T8" s="116">
        <f>I8*E13</f>
        <v>0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243"/>
      <c r="AF8" s="234"/>
      <c r="AG8" s="186"/>
      <c r="AH8" s="186"/>
      <c r="AI8" s="186"/>
      <c r="AJ8" s="186"/>
      <c r="AK8" s="222">
        <f>IF(D30, 'pomocne tabulky'!AE15, 0)</f>
        <v>0</v>
      </c>
      <c r="AL8" s="220"/>
      <c r="AM8" s="186"/>
      <c r="AN8" s="186"/>
      <c r="AO8" s="186"/>
      <c r="AP8" s="186"/>
      <c r="AQ8" s="186"/>
      <c r="AR8" s="186"/>
      <c r="AS8" s="186"/>
      <c r="AT8" s="272"/>
      <c r="AU8" s="267">
        <f t="shared" si="0"/>
        <v>0</v>
      </c>
      <c r="AV8" s="163">
        <f t="shared" si="1"/>
        <v>0</v>
      </c>
      <c r="AW8" s="163" t="str">
        <f t="shared" si="2"/>
        <v>ziadne akva</v>
      </c>
      <c r="AX8" s="164" t="str">
        <f t="shared" si="3"/>
        <v>ziadne akva</v>
      </c>
      <c r="AY8" s="45"/>
      <c r="AZ8" s="46"/>
    </row>
    <row r="9" spans="1:52" ht="15" customHeight="1" x14ac:dyDescent="0.25">
      <c r="A9" s="444" t="str">
        <f>'pomocne tabulky'!A9:C9</f>
        <v>KNO3</v>
      </c>
      <c r="B9" s="445"/>
      <c r="C9" s="445"/>
      <c r="D9" s="295">
        <v>4.2</v>
      </c>
      <c r="E9" s="110">
        <f>D9/'pomocne tabulky'!D9</f>
        <v>4.1541711835035883E-2</v>
      </c>
      <c r="F9" s="115">
        <f>IF(D9=0, 0, ((100/'pomocne tabulky'!$Q$23)/('pomocne tabulky'!G9/D9)))</f>
        <v>13.317774790086503</v>
      </c>
      <c r="G9" s="114"/>
      <c r="H9" s="148" t="str">
        <f>'pomocne tabulky'!K9</f>
        <v>Fe</v>
      </c>
      <c r="I9" s="260">
        <f>'pomocne tabulky'!L9</f>
        <v>55.844999999999999</v>
      </c>
      <c r="J9" s="253"/>
      <c r="K9" s="117"/>
      <c r="L9" s="118"/>
      <c r="M9" s="118"/>
      <c r="N9" s="117"/>
      <c r="O9" s="117"/>
      <c r="P9" s="117"/>
      <c r="Q9" s="116">
        <f>E10*I9</f>
        <v>0</v>
      </c>
      <c r="R9" s="117"/>
      <c r="S9" s="117"/>
      <c r="T9" s="117"/>
      <c r="U9" s="117"/>
      <c r="V9" s="117"/>
      <c r="W9" s="117"/>
      <c r="X9" s="117"/>
      <c r="Y9" s="116">
        <f>D18*B18/100</f>
        <v>0</v>
      </c>
      <c r="Z9" s="116">
        <f>D19*B19/100</f>
        <v>0</v>
      </c>
      <c r="AA9" s="116">
        <f>D20*B20/100</f>
        <v>0</v>
      </c>
      <c r="AB9" s="116">
        <f>B21*D21/100</f>
        <v>0</v>
      </c>
      <c r="AC9" s="116">
        <f>B22*D22/100</f>
        <v>0</v>
      </c>
      <c r="AD9" s="116">
        <f>D23*'pomocne tabulky'!Q3/100</f>
        <v>0</v>
      </c>
      <c r="AE9" s="244">
        <f>D24*'pomocne tabulky'!Q13/100</f>
        <v>0</v>
      </c>
      <c r="AF9" s="233">
        <f>IF(D25, 'pomocne tabulky'!V3*2, 0)</f>
        <v>0</v>
      </c>
      <c r="AG9" s="187">
        <f>IF(D26, 'pomocne tabulky'!V22, 0)</f>
        <v>0</v>
      </c>
      <c r="AH9" s="186"/>
      <c r="AI9" s="186"/>
      <c r="AJ9" s="186"/>
      <c r="AK9" s="222">
        <f>IF(D30, 'pomocne tabulky'!AE14, 0)</f>
        <v>0</v>
      </c>
      <c r="AL9" s="219">
        <f>IF(D31, 'pomocne tabulky'!AE57, 0)</f>
        <v>0</v>
      </c>
      <c r="AM9" s="190">
        <f>IF(D32, 'pomocne tabulky'!AE42, 0)</f>
        <v>0</v>
      </c>
      <c r="AN9" s="190">
        <f>IF(D33, 'pomocne tabulky'!AE26, 0)</f>
        <v>0</v>
      </c>
      <c r="AO9" s="190">
        <f>IF(D34, 'pomocne tabulky'!Z7, 0)</f>
        <v>0</v>
      </c>
      <c r="AP9" s="190">
        <f>IF(D35, 'pomocne tabulky'!Z18, 0)</f>
        <v>0</v>
      </c>
      <c r="AQ9" s="190">
        <f>IF(D36, 'pomocne tabulky'!Z29, 0)</f>
        <v>0</v>
      </c>
      <c r="AR9" s="186"/>
      <c r="AS9" s="186"/>
      <c r="AT9" s="272"/>
      <c r="AU9" s="267">
        <f t="shared" si="0"/>
        <v>0</v>
      </c>
      <c r="AV9" s="163">
        <f t="shared" si="1"/>
        <v>0</v>
      </c>
      <c r="AW9" s="163" t="str">
        <f t="shared" si="2"/>
        <v>ziadne akva</v>
      </c>
      <c r="AX9" s="164" t="str">
        <f t="shared" si="3"/>
        <v>ziadne akva</v>
      </c>
      <c r="AY9" s="45"/>
      <c r="AZ9" s="46"/>
    </row>
    <row r="10" spans="1:52" ht="15" customHeight="1" x14ac:dyDescent="0.25">
      <c r="A10" s="444" t="str">
        <f>'pomocne tabulky'!A10:C10</f>
        <v>FeSO4*7H2O</v>
      </c>
      <c r="B10" s="445"/>
      <c r="C10" s="445"/>
      <c r="D10" s="295"/>
      <c r="E10" s="110">
        <f>D10/'pomocne tabulky'!D10</f>
        <v>0</v>
      </c>
      <c r="F10" s="115">
        <f>IF(D10=0, 0, ((100/'pomocne tabulky'!$Q$23)/('pomocne tabulky'!G10/D10)))</f>
        <v>0</v>
      </c>
      <c r="G10" s="114"/>
      <c r="H10" s="148" t="str">
        <f>'pomocne tabulky'!K10</f>
        <v>B</v>
      </c>
      <c r="I10" s="260">
        <f>'pomocne tabulky'!L10</f>
        <v>10.811</v>
      </c>
      <c r="J10" s="253"/>
      <c r="K10" s="117"/>
      <c r="L10" s="118"/>
      <c r="M10" s="118"/>
      <c r="N10" s="117"/>
      <c r="O10" s="117"/>
      <c r="P10" s="117"/>
      <c r="Q10" s="117"/>
      <c r="R10" s="116">
        <f>E11*I10</f>
        <v>0</v>
      </c>
      <c r="S10" s="117"/>
      <c r="T10" s="117"/>
      <c r="U10" s="117"/>
      <c r="V10" s="118"/>
      <c r="W10" s="118"/>
      <c r="X10" s="118"/>
      <c r="Y10" s="117"/>
      <c r="Z10" s="117"/>
      <c r="AA10" s="117"/>
      <c r="AB10" s="117"/>
      <c r="AC10" s="117"/>
      <c r="AD10" s="116">
        <f>D23*'pomocne tabulky'!Q4/100</f>
        <v>0</v>
      </c>
      <c r="AE10" s="244">
        <f>D24*'pomocne tabulky'!Q14/100</f>
        <v>0</v>
      </c>
      <c r="AF10" s="233">
        <f>IF(D25, 'pomocne tabulky'!V8, 0)</f>
        <v>0</v>
      </c>
      <c r="AG10" s="186"/>
      <c r="AH10" s="186"/>
      <c r="AI10" s="186"/>
      <c r="AJ10" s="186"/>
      <c r="AK10" s="222">
        <f>IF(D30, 'pomocne tabulky'!AE12, 0)</f>
        <v>0</v>
      </c>
      <c r="AL10" s="220"/>
      <c r="AM10" s="190">
        <f>IF(D32, 'pomocne tabulky'!AE50, 0)</f>
        <v>0</v>
      </c>
      <c r="AN10" s="190">
        <f>IF(D33, 'pomocne tabulky'!AE34, 0)</f>
        <v>0</v>
      </c>
      <c r="AO10" s="186"/>
      <c r="AP10" s="186"/>
      <c r="AQ10" s="186"/>
      <c r="AR10" s="186"/>
      <c r="AS10" s="186"/>
      <c r="AT10" s="272"/>
      <c r="AU10" s="267">
        <f t="shared" si="0"/>
        <v>0</v>
      </c>
      <c r="AV10" s="163">
        <f t="shared" si="1"/>
        <v>0</v>
      </c>
      <c r="AW10" s="163" t="str">
        <f t="shared" si="2"/>
        <v>ziadne akva</v>
      </c>
      <c r="AX10" s="164" t="str">
        <f t="shared" si="3"/>
        <v>ziadne akva</v>
      </c>
      <c r="AY10" s="45"/>
      <c r="AZ10" s="46"/>
    </row>
    <row r="11" spans="1:52" ht="15" customHeight="1" x14ac:dyDescent="0.25">
      <c r="A11" s="444" t="str">
        <f>'pomocne tabulky'!A11:C11</f>
        <v>H3BO3</v>
      </c>
      <c r="B11" s="445"/>
      <c r="C11" s="445"/>
      <c r="D11" s="297"/>
      <c r="E11" s="110">
        <f>D11/'pomocne tabulky'!D11</f>
        <v>0</v>
      </c>
      <c r="F11" s="115">
        <f>IF(D11=0, 0, ((100/'pomocne tabulky'!$Q$23)/('pomocne tabulky'!G11/D11)))</f>
        <v>0</v>
      </c>
      <c r="G11" s="114"/>
      <c r="H11" s="148" t="str">
        <f>'pomocne tabulky'!K11</f>
        <v>P</v>
      </c>
      <c r="I11" s="260">
        <f>'pomocne tabulky'!L11</f>
        <v>30.973759999999999</v>
      </c>
      <c r="J11" s="253"/>
      <c r="K11" s="117"/>
      <c r="L11" s="118"/>
      <c r="M11" s="118"/>
      <c r="N11" s="117"/>
      <c r="O11" s="117"/>
      <c r="P11" s="117"/>
      <c r="Q11" s="117"/>
      <c r="R11" s="117"/>
      <c r="S11" s="116">
        <f>E12*I11</f>
        <v>8.4213879005807665E-2</v>
      </c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243"/>
      <c r="AF11" s="234"/>
      <c r="AG11" s="186"/>
      <c r="AH11" s="186"/>
      <c r="AI11" s="186"/>
      <c r="AJ11" s="190">
        <f>IF(D29, 'pomocne tabulky'!V34, 0)</f>
        <v>0</v>
      </c>
      <c r="AK11" s="223"/>
      <c r="AL11" s="220"/>
      <c r="AM11" s="186"/>
      <c r="AN11" s="190">
        <f>IF(D33, 'pomocne tabulky'!AE25, 0)</f>
        <v>0</v>
      </c>
      <c r="AO11" s="186"/>
      <c r="AP11" s="186"/>
      <c r="AQ11" s="186"/>
      <c r="AR11" s="186"/>
      <c r="AS11" s="190">
        <f>IF(D38, 'pomocne tabulky'!Z54, 0)</f>
        <v>0</v>
      </c>
      <c r="AT11" s="273">
        <f>IF(D39, 'pomocne tabulky'!Z65, 0)</f>
        <v>0</v>
      </c>
      <c r="AU11" s="267">
        <f t="shared" si="0"/>
        <v>331.28467941186341</v>
      </c>
      <c r="AV11" s="163">
        <f t="shared" si="1"/>
        <v>0.21033947899165931</v>
      </c>
      <c r="AW11" s="163" t="str">
        <f t="shared" si="2"/>
        <v>ziadne akva</v>
      </c>
      <c r="AX11" s="164" t="str">
        <f t="shared" si="3"/>
        <v>ziadne akva</v>
      </c>
      <c r="AY11" s="45"/>
      <c r="AZ11" s="46"/>
    </row>
    <row r="12" spans="1:52" ht="15" customHeight="1" x14ac:dyDescent="0.25">
      <c r="A12" s="444" t="str">
        <f>'pomocne tabulky'!A12:C12</f>
        <v>KH2PO4</v>
      </c>
      <c r="B12" s="445"/>
      <c r="C12" s="445"/>
      <c r="D12" s="295">
        <v>0.37</v>
      </c>
      <c r="E12" s="110">
        <f>D12/'pomocne tabulky'!D12</f>
        <v>2.7188781409104891E-3</v>
      </c>
      <c r="F12" s="115">
        <f>IF(D12=0, 0, ((100/'pomocne tabulky'!$Q$23)/('pomocne tabulky'!G12/D12)))</f>
        <v>1.6477399242930304</v>
      </c>
      <c r="G12" s="114"/>
      <c r="H12" s="148" t="str">
        <f>'pomocne tabulky'!K12</f>
        <v>Cu</v>
      </c>
      <c r="I12" s="260">
        <f>'pomocne tabulky'!L12</f>
        <v>63.545999999999999</v>
      </c>
      <c r="J12" s="253"/>
      <c r="K12" s="117"/>
      <c r="L12" s="118"/>
      <c r="M12" s="118"/>
      <c r="N12" s="117"/>
      <c r="O12" s="117"/>
      <c r="P12" s="117"/>
      <c r="Q12" s="117"/>
      <c r="R12" s="117"/>
      <c r="S12" s="117"/>
      <c r="T12" s="117"/>
      <c r="U12" s="117"/>
      <c r="V12" s="118"/>
      <c r="W12" s="159"/>
      <c r="X12" s="160"/>
      <c r="Y12" s="117"/>
      <c r="Z12" s="117"/>
      <c r="AA12" s="117"/>
      <c r="AB12" s="117"/>
      <c r="AC12" s="117"/>
      <c r="AD12" s="116">
        <f>D23*'pomocne tabulky'!Q8/100</f>
        <v>0</v>
      </c>
      <c r="AE12" s="244">
        <f>D24*'pomocne tabulky'!Q18/100</f>
        <v>0</v>
      </c>
      <c r="AF12" s="233">
        <f>IF(D25, 'pomocne tabulky'!V9, 0)</f>
        <v>0</v>
      </c>
      <c r="AG12" s="186"/>
      <c r="AH12" s="186"/>
      <c r="AI12" s="186"/>
      <c r="AJ12" s="186"/>
      <c r="AK12" s="223"/>
      <c r="AL12" s="220"/>
      <c r="AM12" s="190">
        <f>IF(D32, 'pomocne tabulky'!AE48, 0)</f>
        <v>0</v>
      </c>
      <c r="AN12" s="190">
        <f>IF(D33, 'pomocne tabulky'!AE32, 0)</f>
        <v>0</v>
      </c>
      <c r="AO12" s="186"/>
      <c r="AP12" s="186"/>
      <c r="AQ12" s="186"/>
      <c r="AR12" s="186"/>
      <c r="AS12" s="186"/>
      <c r="AT12" s="272"/>
      <c r="AU12" s="267">
        <f t="shared" si="0"/>
        <v>0</v>
      </c>
      <c r="AV12" s="163">
        <f t="shared" si="1"/>
        <v>0</v>
      </c>
      <c r="AW12" s="163" t="str">
        <f t="shared" si="2"/>
        <v>ziadne akva</v>
      </c>
      <c r="AX12" s="164" t="str">
        <f t="shared" si="3"/>
        <v>ziadne akva</v>
      </c>
      <c r="AY12" s="45"/>
      <c r="AZ12" s="46"/>
    </row>
    <row r="13" spans="1:52" ht="15" customHeight="1" x14ac:dyDescent="0.25">
      <c r="A13" s="444" t="str">
        <f>'pomocne tabulky'!A13:C13</f>
        <v>NaCl</v>
      </c>
      <c r="B13" s="445"/>
      <c r="C13" s="445"/>
      <c r="D13" s="295"/>
      <c r="E13" s="110">
        <f>D13/'pomocne tabulky'!D13</f>
        <v>0</v>
      </c>
      <c r="F13" s="115">
        <f>IF(D13=0, 0, ((100/'pomocne tabulky'!$Q$23)/('pomocne tabulky'!G13/D13)))</f>
        <v>0</v>
      </c>
      <c r="G13" s="114"/>
      <c r="H13" s="148" t="str">
        <f>'pomocne tabulky'!K13</f>
        <v>Zn</v>
      </c>
      <c r="I13" s="260">
        <f>'pomocne tabulky'!L13</f>
        <v>65.39</v>
      </c>
      <c r="J13" s="253"/>
      <c r="K13" s="117"/>
      <c r="L13" s="118"/>
      <c r="M13" s="118"/>
      <c r="N13" s="117"/>
      <c r="O13" s="117"/>
      <c r="P13" s="117"/>
      <c r="Q13" s="117"/>
      <c r="R13" s="117"/>
      <c r="S13" s="117"/>
      <c r="T13" s="117"/>
      <c r="U13" s="117"/>
      <c r="V13" s="118"/>
      <c r="W13" s="118"/>
      <c r="X13" s="118"/>
      <c r="Y13" s="117"/>
      <c r="Z13" s="117"/>
      <c r="AA13" s="117"/>
      <c r="AB13" s="117"/>
      <c r="AC13" s="117"/>
      <c r="AD13" s="116">
        <f>D23*'pomocne tabulky'!Q7/100</f>
        <v>0</v>
      </c>
      <c r="AE13" s="244">
        <f>D24*'pomocne tabulky'!Q17/100</f>
        <v>0</v>
      </c>
      <c r="AF13" s="233">
        <f>IF(D25, 'pomocne tabulky'!V11, 0)</f>
        <v>0</v>
      </c>
      <c r="AG13" s="186"/>
      <c r="AH13" s="186"/>
      <c r="AI13" s="186"/>
      <c r="AJ13" s="186"/>
      <c r="AK13" s="223"/>
      <c r="AL13" s="220"/>
      <c r="AM13" s="190">
        <f>IF(D32, 'pomocne tabulky'!AE47, 0)</f>
        <v>0</v>
      </c>
      <c r="AN13" s="190">
        <f>IF(D33, 'pomocne tabulky'!AE31, 0)</f>
        <v>0</v>
      </c>
      <c r="AO13" s="186"/>
      <c r="AP13" s="186"/>
      <c r="AQ13" s="186"/>
      <c r="AR13" s="186"/>
      <c r="AS13" s="186"/>
      <c r="AT13" s="272"/>
      <c r="AU13" s="267">
        <f t="shared" si="0"/>
        <v>0</v>
      </c>
      <c r="AV13" s="163">
        <f t="shared" si="1"/>
        <v>0</v>
      </c>
      <c r="AW13" s="163" t="str">
        <f t="shared" si="2"/>
        <v>ziadne akva</v>
      </c>
      <c r="AX13" s="164" t="str">
        <f t="shared" si="3"/>
        <v>ziadne akva</v>
      </c>
      <c r="AY13" s="45"/>
      <c r="AZ13" s="46"/>
    </row>
    <row r="14" spans="1:52" ht="15" customHeight="1" x14ac:dyDescent="0.25">
      <c r="A14" s="444" t="str">
        <f>'pomocne tabulky'!A14:C14</f>
        <v>NH4NO3</v>
      </c>
      <c r="B14" s="445"/>
      <c r="C14" s="445"/>
      <c r="D14" s="295"/>
      <c r="E14" s="110">
        <f>D14/'pomocne tabulky'!D14</f>
        <v>0</v>
      </c>
      <c r="F14" s="115">
        <f>IF(D14=0, 0, ((100/'pomocne tabulky'!$Q$23)/('pomocne tabulky'!G14/D14)))</f>
        <v>0</v>
      </c>
      <c r="G14" s="114"/>
      <c r="H14" s="148" t="str">
        <f>'pomocne tabulky'!K14</f>
        <v>Na</v>
      </c>
      <c r="I14" s="260">
        <f>'pomocne tabulky'!L14</f>
        <v>22.98977</v>
      </c>
      <c r="J14" s="253"/>
      <c r="K14" s="117"/>
      <c r="L14" s="118"/>
      <c r="M14" s="118"/>
      <c r="N14" s="117"/>
      <c r="O14" s="117"/>
      <c r="P14" s="117"/>
      <c r="Q14" s="117"/>
      <c r="R14" s="117"/>
      <c r="S14" s="117"/>
      <c r="T14" s="116">
        <f>E13*I14</f>
        <v>0</v>
      </c>
      <c r="U14" s="117"/>
      <c r="V14" s="118"/>
      <c r="W14" s="118"/>
      <c r="X14" s="118"/>
      <c r="Y14" s="117"/>
      <c r="Z14" s="117"/>
      <c r="AA14" s="117"/>
      <c r="AB14" s="117"/>
      <c r="AC14" s="117"/>
      <c r="AD14" s="117"/>
      <c r="AE14" s="243"/>
      <c r="AF14" s="234"/>
      <c r="AG14" s="186"/>
      <c r="AH14" s="186"/>
      <c r="AI14" s="186"/>
      <c r="AJ14" s="186"/>
      <c r="AK14" s="222">
        <f>IF(D30, 'pomocne tabulky'!AE17, 0)</f>
        <v>0</v>
      </c>
      <c r="AL14" s="220"/>
      <c r="AM14" s="186"/>
      <c r="AN14" s="186"/>
      <c r="AO14" s="186"/>
      <c r="AP14" s="186"/>
      <c r="AQ14" s="186"/>
      <c r="AR14" s="186"/>
      <c r="AS14" s="186"/>
      <c r="AT14" s="272"/>
      <c r="AU14" s="267">
        <f t="shared" si="0"/>
        <v>0</v>
      </c>
      <c r="AV14" s="163">
        <f t="shared" si="1"/>
        <v>0</v>
      </c>
      <c r="AW14" s="163" t="str">
        <f t="shared" si="2"/>
        <v>ziadne akva</v>
      </c>
      <c r="AX14" s="164" t="str">
        <f t="shared" si="3"/>
        <v>ziadne akva</v>
      </c>
      <c r="AY14" s="45"/>
      <c r="AZ14" s="46"/>
    </row>
    <row r="15" spans="1:52" ht="15" customHeight="1" x14ac:dyDescent="0.25">
      <c r="A15" s="444" t="str">
        <f>'pomocne tabulky'!A15:C15</f>
        <v>Ca(NO3)2*4H2O</v>
      </c>
      <c r="B15" s="445"/>
      <c r="C15" s="445"/>
      <c r="D15" s="295"/>
      <c r="E15" s="110">
        <f>D15/'pomocne tabulky'!D15</f>
        <v>0</v>
      </c>
      <c r="F15" s="115">
        <f>IF(D15=0, 0, ((100/'pomocne tabulky'!$Q$23)/('pomocne tabulky'!G15/D15)))</f>
        <v>0</v>
      </c>
      <c r="G15" s="114"/>
      <c r="H15" s="148" t="str">
        <f>'pomocne tabulky'!K15</f>
        <v>N</v>
      </c>
      <c r="I15" s="260">
        <f>'pomocne tabulky'!L15</f>
        <v>14.0067</v>
      </c>
      <c r="J15" s="253"/>
      <c r="K15" s="117"/>
      <c r="L15" s="118"/>
      <c r="M15" s="118"/>
      <c r="N15" s="117"/>
      <c r="O15" s="117"/>
      <c r="P15" s="116">
        <f>I15*E9</f>
        <v>0.58186229515979715</v>
      </c>
      <c r="Q15" s="117"/>
      <c r="R15" s="117"/>
      <c r="S15" s="117"/>
      <c r="T15" s="117"/>
      <c r="U15" s="116">
        <f>I15*E14*2</f>
        <v>0</v>
      </c>
      <c r="V15" s="116">
        <f>I15*E15*2</f>
        <v>0</v>
      </c>
      <c r="W15" s="116">
        <f>I15*E16*2</f>
        <v>0</v>
      </c>
      <c r="X15" s="116">
        <f>I15*E17*2</f>
        <v>0</v>
      </c>
      <c r="Y15" s="117"/>
      <c r="Z15" s="117"/>
      <c r="AA15" s="117"/>
      <c r="AB15" s="117"/>
      <c r="AC15" s="117"/>
      <c r="AD15" s="117"/>
      <c r="AE15" s="243"/>
      <c r="AF15" s="234"/>
      <c r="AG15" s="186"/>
      <c r="AH15" s="186"/>
      <c r="AI15" s="190">
        <f>IF(D28, 'pomocne tabulky'!V28, 0)</f>
        <v>0</v>
      </c>
      <c r="AJ15" s="186"/>
      <c r="AK15" s="223"/>
      <c r="AL15" s="220"/>
      <c r="AM15" s="186"/>
      <c r="AN15" s="190">
        <f>IF(D33, 'pomocne tabulky'!AE24, 0)</f>
        <v>0</v>
      </c>
      <c r="AO15" s="186"/>
      <c r="AP15" s="186"/>
      <c r="AQ15" s="186"/>
      <c r="AR15" s="186"/>
      <c r="AS15" s="190">
        <f>IF(D38, 'pomocne tabulky'!Z52, 0)</f>
        <v>0</v>
      </c>
      <c r="AT15" s="273">
        <f>IF(D39, 'pomocne tabulky'!Z63, 0)</f>
        <v>0</v>
      </c>
      <c r="AU15" s="267">
        <f t="shared" si="0"/>
        <v>2288.958378233247</v>
      </c>
      <c r="AV15" s="163">
        <f t="shared" si="1"/>
        <v>1.4533069068147599</v>
      </c>
      <c r="AW15" s="163" t="str">
        <f t="shared" si="2"/>
        <v>ziadne akva</v>
      </c>
      <c r="AX15" s="164" t="str">
        <f t="shared" si="3"/>
        <v>ziadne akva</v>
      </c>
      <c r="AY15" s="45"/>
      <c r="AZ15" s="46"/>
    </row>
    <row r="16" spans="1:52" ht="15" customHeight="1" x14ac:dyDescent="0.25">
      <c r="A16" s="444" t="str">
        <f>'pomocne tabulky'!A16:C16</f>
        <v>Mg(NO3)2*6H2O</v>
      </c>
      <c r="B16" s="445"/>
      <c r="C16" s="445"/>
      <c r="D16" s="295"/>
      <c r="E16" s="110">
        <f>D16/'pomocne tabulky'!D16</f>
        <v>0</v>
      </c>
      <c r="F16" s="115">
        <f>IF(D16=0, 0, ((100/'pomocne tabulky'!$Q$23)/('pomocne tabulky'!G16/D16)))</f>
        <v>0</v>
      </c>
      <c r="G16" s="114"/>
      <c r="H16" s="148" t="str">
        <f>'pomocne tabulky'!K16</f>
        <v>Mn</v>
      </c>
      <c r="I16" s="260">
        <f>'pomocne tabulky'!L16</f>
        <v>54.938049999999997</v>
      </c>
      <c r="J16" s="253"/>
      <c r="K16" s="117"/>
      <c r="L16" s="118"/>
      <c r="M16" s="118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7"/>
      <c r="Z16" s="117"/>
      <c r="AA16" s="117"/>
      <c r="AB16" s="117"/>
      <c r="AC16" s="117"/>
      <c r="AD16" s="116">
        <f>D23*'pomocne tabulky'!Q5/100</f>
        <v>0</v>
      </c>
      <c r="AE16" s="244">
        <f>D24*'pomocne tabulky'!Q15/100</f>
        <v>0</v>
      </c>
      <c r="AF16" s="233">
        <f>IF(D25, 'pomocne tabulky'!V6, 0)</f>
        <v>0</v>
      </c>
      <c r="AG16" s="186"/>
      <c r="AH16" s="186"/>
      <c r="AI16" s="186"/>
      <c r="AJ16" s="186"/>
      <c r="AK16" s="223"/>
      <c r="AL16" s="220"/>
      <c r="AM16" s="190">
        <f>IF(D32, 'pomocne tabulky'!AE46, 0)</f>
        <v>0</v>
      </c>
      <c r="AN16" s="190">
        <f>IF(D33, 'pomocne tabulky'!AE30, 0)</f>
        <v>0</v>
      </c>
      <c r="AO16" s="186"/>
      <c r="AP16" s="186"/>
      <c r="AQ16" s="186"/>
      <c r="AR16" s="186"/>
      <c r="AS16" s="186"/>
      <c r="AT16" s="272"/>
      <c r="AU16" s="267">
        <f t="shared" si="0"/>
        <v>0</v>
      </c>
      <c r="AV16" s="163">
        <f t="shared" si="1"/>
        <v>0</v>
      </c>
      <c r="AW16" s="163" t="str">
        <f t="shared" si="2"/>
        <v>ziadne akva</v>
      </c>
      <c r="AX16" s="164" t="str">
        <f t="shared" si="3"/>
        <v>ziadne akva</v>
      </c>
      <c r="AY16" s="45"/>
      <c r="AZ16" s="46"/>
    </row>
    <row r="17" spans="1:52" ht="15" customHeight="1" x14ac:dyDescent="0.25">
      <c r="A17" s="444" t="str">
        <f>'pomocne tabulky'!A17:C17</f>
        <v>CH4N2O (urea)</v>
      </c>
      <c r="B17" s="445"/>
      <c r="C17" s="445"/>
      <c r="D17" s="295"/>
      <c r="E17" s="110">
        <f>D17/'pomocne tabulky'!D17</f>
        <v>0</v>
      </c>
      <c r="F17" s="115">
        <f>IF(D17=0, 0, ((100/'pomocne tabulky'!$Q$23)/('pomocne tabulky'!G17/D17)))</f>
        <v>0</v>
      </c>
      <c r="G17" s="114"/>
      <c r="H17" s="148" t="str">
        <f>'pomocne tabulky'!K17</f>
        <v>Mo</v>
      </c>
      <c r="I17" s="260">
        <f>'pomocne tabulky'!L17</f>
        <v>95.94</v>
      </c>
      <c r="J17" s="253"/>
      <c r="K17" s="117"/>
      <c r="L17" s="118"/>
      <c r="M17" s="118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7"/>
      <c r="Z17" s="117"/>
      <c r="AA17" s="117"/>
      <c r="AB17" s="117"/>
      <c r="AC17" s="117"/>
      <c r="AD17" s="116">
        <f>D23*'pomocne tabulky'!Q6/100</f>
        <v>0</v>
      </c>
      <c r="AE17" s="244">
        <f>D24*'pomocne tabulky'!Q16/100</f>
        <v>0</v>
      </c>
      <c r="AF17" s="233">
        <f>IF(D25, 'pomocne tabulky'!V10, 0)</f>
        <v>0</v>
      </c>
      <c r="AG17" s="186"/>
      <c r="AH17" s="186"/>
      <c r="AI17" s="186"/>
      <c r="AJ17" s="186"/>
      <c r="AK17" s="223"/>
      <c r="AL17" s="219">
        <f>IF(D31, 'pomocne tabulky'!AE58, 0)</f>
        <v>0</v>
      </c>
      <c r="AM17" s="190">
        <f>IF(D32, 'pomocne tabulky'!AE49, 0)</f>
        <v>0</v>
      </c>
      <c r="AN17" s="190">
        <f>IF(D33, 'pomocne tabulky'!AE33, 0)</f>
        <v>0</v>
      </c>
      <c r="AO17" s="186"/>
      <c r="AP17" s="186"/>
      <c r="AQ17" s="186"/>
      <c r="AR17" s="186"/>
      <c r="AS17" s="186"/>
      <c r="AT17" s="272"/>
      <c r="AU17" s="267">
        <f t="shared" si="0"/>
        <v>0</v>
      </c>
      <c r="AV17" s="163">
        <f t="shared" si="1"/>
        <v>0</v>
      </c>
      <c r="AW17" s="163" t="str">
        <f t="shared" si="2"/>
        <v>ziadne akva</v>
      </c>
      <c r="AX17" s="164" t="str">
        <f t="shared" si="3"/>
        <v>ziadne akva</v>
      </c>
      <c r="AY17" s="45"/>
      <c r="AZ17" s="46"/>
    </row>
    <row r="18" spans="1:52" ht="15" customHeight="1" x14ac:dyDescent="0.25">
      <c r="A18" s="175" t="s">
        <v>92</v>
      </c>
      <c r="B18" s="49">
        <f>'pomocne tabulky'!B19</f>
        <v>6</v>
      </c>
      <c r="C18" s="50" t="s">
        <v>35</v>
      </c>
      <c r="D18" s="298"/>
      <c r="E18" s="111" t="s">
        <v>56</v>
      </c>
      <c r="F18" s="115">
        <f>IF(D18=0, 0, ((100/'pomocne tabulky'!$Q$23)/('pomocne tabulky'!G19/D18)) )</f>
        <v>0</v>
      </c>
      <c r="G18" s="114"/>
      <c r="H18" s="148" t="str">
        <f>'pomocne tabulky'!K18</f>
        <v>Ca</v>
      </c>
      <c r="I18" s="260">
        <f>'pomocne tabulky'!L18</f>
        <v>40.078000000000003</v>
      </c>
      <c r="J18" s="253"/>
      <c r="K18" s="117"/>
      <c r="L18" s="116">
        <f>I18*E5</f>
        <v>0</v>
      </c>
      <c r="M18" s="116">
        <f>I18*E6</f>
        <v>0</v>
      </c>
      <c r="N18" s="117"/>
      <c r="O18" s="117"/>
      <c r="P18" s="117"/>
      <c r="Q18" s="117"/>
      <c r="R18" s="117"/>
      <c r="S18" s="117"/>
      <c r="T18" s="117"/>
      <c r="U18" s="117"/>
      <c r="V18" s="116">
        <f>I18*E15</f>
        <v>0</v>
      </c>
      <c r="W18" s="118"/>
      <c r="X18" s="118"/>
      <c r="Y18" s="117"/>
      <c r="Z18" s="117"/>
      <c r="AA18" s="117"/>
      <c r="AB18" s="117"/>
      <c r="AC18" s="117"/>
      <c r="AD18" s="117"/>
      <c r="AE18" s="244">
        <f>D24*'pomocne tabulky'!Q19/100</f>
        <v>0</v>
      </c>
      <c r="AF18" s="234"/>
      <c r="AG18" s="186"/>
      <c r="AH18" s="186"/>
      <c r="AI18" s="186"/>
      <c r="AJ18" s="186"/>
      <c r="AK18" s="223"/>
      <c r="AL18" s="186"/>
      <c r="AM18" s="186"/>
      <c r="AN18" s="186"/>
      <c r="AO18" s="186"/>
      <c r="AP18" s="186"/>
      <c r="AQ18" s="186"/>
      <c r="AR18" s="186"/>
      <c r="AS18" s="186"/>
      <c r="AT18" s="272"/>
      <c r="AU18" s="267">
        <f t="shared" si="0"/>
        <v>0</v>
      </c>
      <c r="AV18" s="163">
        <f t="shared" si="1"/>
        <v>0</v>
      </c>
      <c r="AW18" s="163" t="str">
        <f t="shared" si="2"/>
        <v>ziadne akva</v>
      </c>
      <c r="AX18" s="164" t="str">
        <f t="shared" si="3"/>
        <v>ziadne akva</v>
      </c>
      <c r="AY18" s="45"/>
      <c r="AZ18" s="46"/>
    </row>
    <row r="19" spans="1:52" ht="15" customHeight="1" x14ac:dyDescent="0.25">
      <c r="A19" s="175" t="s">
        <v>93</v>
      </c>
      <c r="B19" s="49">
        <f>'pomocne tabulky'!B20</f>
        <v>11</v>
      </c>
      <c r="C19" s="50" t="s">
        <v>35</v>
      </c>
      <c r="D19" s="298"/>
      <c r="E19" s="111" t="s">
        <v>56</v>
      </c>
      <c r="F19" s="115">
        <f>IF(D19=0, 0, ((100/'pomocne tabulky'!$Q$23)/('pomocne tabulky'!G20/D19)) )</f>
        <v>0</v>
      </c>
      <c r="G19" s="114"/>
      <c r="H19" s="149" t="str">
        <f>'pomocne tabulky'!K19</f>
        <v>C</v>
      </c>
      <c r="I19" s="261">
        <f>'pomocne tabulky'!L19</f>
        <v>12.0107</v>
      </c>
      <c r="J19" s="254"/>
      <c r="K19" s="122"/>
      <c r="L19" s="124"/>
      <c r="M19" s="124"/>
      <c r="N19" s="122"/>
      <c r="O19" s="122"/>
      <c r="P19" s="122"/>
      <c r="Q19" s="122"/>
      <c r="R19" s="122"/>
      <c r="S19" s="122"/>
      <c r="T19" s="122"/>
      <c r="U19" s="122"/>
      <c r="V19" s="124"/>
      <c r="W19" s="124"/>
      <c r="X19" s="123">
        <f>I19*E17</f>
        <v>0</v>
      </c>
      <c r="Y19" s="122"/>
      <c r="Z19" s="122"/>
      <c r="AA19" s="122"/>
      <c r="AB19" s="122"/>
      <c r="AC19" s="122"/>
      <c r="AD19" s="122"/>
      <c r="AE19" s="245"/>
      <c r="AF19" s="234"/>
      <c r="AG19" s="186"/>
      <c r="AH19" s="186"/>
      <c r="AI19" s="186"/>
      <c r="AJ19" s="186"/>
      <c r="AK19" s="223"/>
      <c r="AL19" s="186"/>
      <c r="AM19" s="186"/>
      <c r="AN19" s="186"/>
      <c r="AO19" s="186"/>
      <c r="AP19" s="186"/>
      <c r="AQ19" s="186"/>
      <c r="AR19" s="186"/>
      <c r="AS19" s="186"/>
      <c r="AT19" s="272"/>
      <c r="AU19" s="267">
        <f t="shared" si="0"/>
        <v>0</v>
      </c>
      <c r="AV19" s="163">
        <f t="shared" si="1"/>
        <v>0</v>
      </c>
      <c r="AW19" s="163" t="str">
        <f t="shared" si="2"/>
        <v>ziadne akva</v>
      </c>
      <c r="AX19" s="164" t="str">
        <f t="shared" si="3"/>
        <v>ziadne akva</v>
      </c>
      <c r="AY19" s="45"/>
      <c r="AZ19" s="46"/>
    </row>
    <row r="20" spans="1:52" ht="15" customHeight="1" x14ac:dyDescent="0.25">
      <c r="A20" s="175" t="s">
        <v>94</v>
      </c>
      <c r="B20" s="49">
        <f>'pomocne tabulky'!B21</f>
        <v>13</v>
      </c>
      <c r="C20" s="50" t="s">
        <v>35</v>
      </c>
      <c r="D20" s="298"/>
      <c r="E20" s="111" t="s">
        <v>56</v>
      </c>
      <c r="F20" s="115">
        <f>IF(D20=0, 0, ((100/'pomocne tabulky'!$Q$23)/('pomocne tabulky'!G21/D20)) )</f>
        <v>0</v>
      </c>
      <c r="G20" s="114"/>
      <c r="H20" s="150" t="str">
        <f>'pomocne tabulky'!K20</f>
        <v>I</v>
      </c>
      <c r="I20" s="262">
        <f>'pomocne tabulky'!L20</f>
        <v>126.90447</v>
      </c>
      <c r="J20" s="255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246"/>
      <c r="AF20" s="233">
        <f>IF(D25, 'pomocne tabulky'!V7, 0)</f>
        <v>0</v>
      </c>
      <c r="AG20" s="186"/>
      <c r="AH20" s="186"/>
      <c r="AI20" s="186"/>
      <c r="AJ20" s="186"/>
      <c r="AK20" s="223"/>
      <c r="AL20" s="186"/>
      <c r="AM20" s="186"/>
      <c r="AN20" s="186"/>
      <c r="AO20" s="186"/>
      <c r="AP20" s="186"/>
      <c r="AQ20" s="186"/>
      <c r="AR20" s="186"/>
      <c r="AS20" s="186"/>
      <c r="AT20" s="272"/>
      <c r="AU20" s="267">
        <f t="shared" si="0"/>
        <v>0</v>
      </c>
      <c r="AV20" s="163">
        <f t="shared" si="1"/>
        <v>0</v>
      </c>
      <c r="AW20" s="163" t="str">
        <f t="shared" si="2"/>
        <v>ziadne akva</v>
      </c>
      <c r="AX20" s="164" t="str">
        <f t="shared" si="3"/>
        <v>ziadne akva</v>
      </c>
      <c r="AY20" s="45"/>
      <c r="AZ20" s="46"/>
    </row>
    <row r="21" spans="1:52" ht="15" customHeight="1" x14ac:dyDescent="0.25">
      <c r="A21" s="175" t="s">
        <v>93</v>
      </c>
      <c r="B21" s="49">
        <f>'pomocne tabulky'!B22</f>
        <v>6</v>
      </c>
      <c r="C21" s="50" t="s">
        <v>35</v>
      </c>
      <c r="D21" s="298"/>
      <c r="E21" s="111" t="s">
        <v>56</v>
      </c>
      <c r="F21" s="115">
        <f>IF(D21=0, 0, ((100/'pomocne tabulky'!$Q$23)/('pomocne tabulky'!G22/D21)) )</f>
        <v>0</v>
      </c>
      <c r="G21" s="114"/>
      <c r="H21" s="150" t="str">
        <f>'pomocne tabulky'!K21</f>
        <v>Li</v>
      </c>
      <c r="I21" s="262">
        <f>'pomocne tabulky'!L21</f>
        <v>6.94</v>
      </c>
      <c r="J21" s="255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246"/>
      <c r="AF21" s="233">
        <f>IF(D25, 'pomocne tabulky'!V12, 0)</f>
        <v>0</v>
      </c>
      <c r="AG21" s="186"/>
      <c r="AH21" s="186"/>
      <c r="AI21" s="186"/>
      <c r="AJ21" s="186"/>
      <c r="AK21" s="223"/>
      <c r="AL21" s="186"/>
      <c r="AM21" s="186"/>
      <c r="AN21" s="186"/>
      <c r="AO21" s="186"/>
      <c r="AP21" s="186"/>
      <c r="AQ21" s="186"/>
      <c r="AR21" s="186"/>
      <c r="AS21" s="186"/>
      <c r="AT21" s="272"/>
      <c r="AU21" s="267">
        <f t="shared" si="0"/>
        <v>0</v>
      </c>
      <c r="AV21" s="163">
        <f t="shared" si="1"/>
        <v>0</v>
      </c>
      <c r="AW21" s="163" t="str">
        <f t="shared" si="2"/>
        <v>ziadne akva</v>
      </c>
      <c r="AX21" s="164" t="str">
        <f t="shared" si="3"/>
        <v>ziadne akva</v>
      </c>
      <c r="AY21" s="45"/>
      <c r="AZ21" s="46"/>
    </row>
    <row r="22" spans="1:52" ht="15" customHeight="1" x14ac:dyDescent="0.25">
      <c r="A22" s="175" t="s">
        <v>332</v>
      </c>
      <c r="B22" s="49">
        <f>'pomocne tabulky'!B23</f>
        <v>12.1580547112462</v>
      </c>
      <c r="C22" s="50" t="s">
        <v>35</v>
      </c>
      <c r="D22" s="298"/>
      <c r="E22" s="111"/>
      <c r="F22" s="215" t="s">
        <v>56</v>
      </c>
      <c r="G22" s="114"/>
      <c r="H22" s="150" t="str">
        <f>'pomocne tabulky'!K22</f>
        <v>Ni</v>
      </c>
      <c r="I22" s="262">
        <f>'pomocne tabulky'!L22</f>
        <v>58.693399999999997</v>
      </c>
      <c r="J22" s="255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46"/>
      <c r="AF22" s="233">
        <f>IF(D25, 'pomocne tabulky'!V13, 0)</f>
        <v>0</v>
      </c>
      <c r="AG22" s="186"/>
      <c r="AH22" s="186"/>
      <c r="AI22" s="186"/>
      <c r="AJ22" s="186"/>
      <c r="AK22" s="223"/>
      <c r="AL22" s="186"/>
      <c r="AM22" s="186"/>
      <c r="AN22" s="186"/>
      <c r="AO22" s="186"/>
      <c r="AP22" s="186"/>
      <c r="AQ22" s="186"/>
      <c r="AR22" s="186"/>
      <c r="AS22" s="186"/>
      <c r="AT22" s="272"/>
      <c r="AU22" s="267">
        <f t="shared" ref="AU22:AU33" si="4">IF($D$43=0, "---", SUM(AF22:AT22)+(SUM(J22:AE22)*1000)/($E$43/1000))</f>
        <v>0</v>
      </c>
      <c r="AV22" s="163">
        <f t="shared" ref="AV22:AV33" si="5">IF($AV$78=0,"ziadne akva",IF($D$43=0,"ziadny roztok",IF($D$47=0,"ziadna davka",((AU22*$D$47)/($AV$78*1000)))))</f>
        <v>0</v>
      </c>
      <c r="AW22" s="163" t="str">
        <f t="shared" ref="AW22:AW33" si="6">IF($AW$78=0,"ziadne akva",IF($D$43=0,"ziadny roztok",IF($D$49=0,"ziadna davka",((AU22*$D$49)/($AW$78*1000)))))</f>
        <v>ziadne akva</v>
      </c>
      <c r="AX22" s="164" t="str">
        <f t="shared" ref="AX22:AX27" si="7">IF($AX$78=0,"ziadne akva",IF($D$43=0,"ziadny roztok",IF($D$51=0,"ziadna davka",((AU22*$D$51)/($AX$78*1000)))))</f>
        <v>ziadne akva</v>
      </c>
      <c r="AY22" s="45"/>
      <c r="AZ22" s="46"/>
    </row>
    <row r="23" spans="1:52" ht="15" customHeight="1" x14ac:dyDescent="0.25">
      <c r="A23" s="444" t="s">
        <v>5</v>
      </c>
      <c r="B23" s="445"/>
      <c r="C23" s="445"/>
      <c r="D23" s="295"/>
      <c r="E23" s="111" t="s">
        <v>56</v>
      </c>
      <c r="F23" s="215" t="s">
        <v>56</v>
      </c>
      <c r="G23" s="114"/>
      <c r="H23" s="150" t="str">
        <f>'pomocne tabulky'!K23</f>
        <v>Co</v>
      </c>
      <c r="I23" s="262">
        <f>'pomocne tabulky'!L23</f>
        <v>58.933199999999999</v>
      </c>
      <c r="J23" s="255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46"/>
      <c r="AF23" s="233">
        <f>IF(D25, 'pomocne tabulky'!V14, 0)</f>
        <v>0</v>
      </c>
      <c r="AG23" s="186"/>
      <c r="AH23" s="186"/>
      <c r="AI23" s="186"/>
      <c r="AJ23" s="186"/>
      <c r="AK23" s="223"/>
      <c r="AL23" s="186"/>
      <c r="AM23" s="186"/>
      <c r="AN23" s="186"/>
      <c r="AO23" s="186"/>
      <c r="AP23" s="186"/>
      <c r="AQ23" s="186"/>
      <c r="AR23" s="186"/>
      <c r="AS23" s="186"/>
      <c r="AT23" s="272"/>
      <c r="AU23" s="267">
        <f t="shared" si="4"/>
        <v>0</v>
      </c>
      <c r="AV23" s="163">
        <f t="shared" si="5"/>
        <v>0</v>
      </c>
      <c r="AW23" s="163" t="str">
        <f t="shared" si="6"/>
        <v>ziadne akva</v>
      </c>
      <c r="AX23" s="164" t="str">
        <f t="shared" si="7"/>
        <v>ziadne akva</v>
      </c>
      <c r="AY23" s="45"/>
      <c r="AZ23" s="46"/>
    </row>
    <row r="24" spans="1:52" ht="15" customHeight="1" thickBot="1" x14ac:dyDescent="0.3">
      <c r="A24" s="459" t="s">
        <v>46</v>
      </c>
      <c r="B24" s="460"/>
      <c r="C24" s="460"/>
      <c r="D24" s="299"/>
      <c r="E24" s="193" t="s">
        <v>56</v>
      </c>
      <c r="F24" s="216" t="s">
        <v>56</v>
      </c>
      <c r="G24" s="114"/>
      <c r="H24" s="150" t="str">
        <f>'pomocne tabulky'!K24</f>
        <v>Al</v>
      </c>
      <c r="I24" s="262">
        <f>'pomocne tabulky'!L24</f>
        <v>26.981539999999999</v>
      </c>
      <c r="J24" s="25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46"/>
      <c r="AF24" s="233">
        <f>IF(D25, 'pomocne tabulky'!V15, 0)</f>
        <v>0</v>
      </c>
      <c r="AG24" s="186"/>
      <c r="AH24" s="186"/>
      <c r="AI24" s="186"/>
      <c r="AJ24" s="186"/>
      <c r="AK24" s="223"/>
      <c r="AL24" s="186"/>
      <c r="AM24" s="186"/>
      <c r="AN24" s="186"/>
      <c r="AO24" s="186"/>
      <c r="AP24" s="186"/>
      <c r="AQ24" s="186"/>
      <c r="AR24" s="186"/>
      <c r="AS24" s="186"/>
      <c r="AT24" s="272"/>
      <c r="AU24" s="267">
        <f t="shared" si="4"/>
        <v>0</v>
      </c>
      <c r="AV24" s="163">
        <f t="shared" si="5"/>
        <v>0</v>
      </c>
      <c r="AW24" s="163" t="str">
        <f t="shared" si="6"/>
        <v>ziadne akva</v>
      </c>
      <c r="AX24" s="164" t="str">
        <f t="shared" si="7"/>
        <v>ziadne akva</v>
      </c>
      <c r="AY24" s="45"/>
      <c r="AZ24" s="46"/>
    </row>
    <row r="25" spans="1:52" ht="15" customHeight="1" x14ac:dyDescent="0.25">
      <c r="A25" s="472" t="s">
        <v>238</v>
      </c>
      <c r="B25" s="473"/>
      <c r="C25" s="474"/>
      <c r="D25" s="300"/>
      <c r="E25" s="192" t="s">
        <v>56</v>
      </c>
      <c r="F25" s="217" t="s">
        <v>56</v>
      </c>
      <c r="G25" s="114"/>
      <c r="H25" s="150" t="str">
        <f>'pomocne tabulky'!K25</f>
        <v>Sn</v>
      </c>
      <c r="I25" s="262">
        <f>'pomocne tabulky'!L25</f>
        <v>118.71</v>
      </c>
      <c r="J25" s="255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46"/>
      <c r="AF25" s="233">
        <f>IF(D25, 'pomocne tabulky'!V16, 0)</f>
        <v>0</v>
      </c>
      <c r="AG25" s="186"/>
      <c r="AH25" s="186"/>
      <c r="AI25" s="186"/>
      <c r="AJ25" s="186"/>
      <c r="AK25" s="223"/>
      <c r="AL25" s="186"/>
      <c r="AM25" s="186"/>
      <c r="AN25" s="186"/>
      <c r="AO25" s="186"/>
      <c r="AP25" s="186"/>
      <c r="AQ25" s="186"/>
      <c r="AR25" s="186"/>
      <c r="AS25" s="186"/>
      <c r="AT25" s="272"/>
      <c r="AU25" s="267">
        <f t="shared" si="4"/>
        <v>0</v>
      </c>
      <c r="AV25" s="163">
        <f t="shared" si="5"/>
        <v>0</v>
      </c>
      <c r="AW25" s="163" t="str">
        <f t="shared" si="6"/>
        <v>ziadne akva</v>
      </c>
      <c r="AX25" s="164" t="str">
        <f t="shared" si="7"/>
        <v>ziadne akva</v>
      </c>
      <c r="AY25" s="45"/>
      <c r="AZ25" s="46"/>
    </row>
    <row r="26" spans="1:52" ht="15" customHeight="1" x14ac:dyDescent="0.25">
      <c r="A26" s="444" t="s">
        <v>240</v>
      </c>
      <c r="B26" s="445"/>
      <c r="C26" s="447"/>
      <c r="D26" s="301"/>
      <c r="E26" s="174" t="s">
        <v>56</v>
      </c>
      <c r="F26" s="218" t="s">
        <v>56</v>
      </c>
      <c r="G26" s="114"/>
      <c r="H26" s="150" t="str">
        <f>'pomocne tabulky'!K26</f>
        <v>F</v>
      </c>
      <c r="I26" s="262">
        <f>'pomocne tabulky'!L26</f>
        <v>18.998403</v>
      </c>
      <c r="J26" s="25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46"/>
      <c r="AF26" s="233">
        <f>IF(D25, 'pomocne tabulky'!V17, 0)</f>
        <v>0</v>
      </c>
      <c r="AG26" s="186"/>
      <c r="AH26" s="186"/>
      <c r="AI26" s="186"/>
      <c r="AJ26" s="186"/>
      <c r="AK26" s="223"/>
      <c r="AL26" s="186"/>
      <c r="AM26" s="186"/>
      <c r="AN26" s="186"/>
      <c r="AO26" s="186"/>
      <c r="AP26" s="186"/>
      <c r="AQ26" s="186"/>
      <c r="AR26" s="186"/>
      <c r="AS26" s="186"/>
      <c r="AT26" s="272"/>
      <c r="AU26" s="267">
        <f t="shared" si="4"/>
        <v>0</v>
      </c>
      <c r="AV26" s="163">
        <f t="shared" si="5"/>
        <v>0</v>
      </c>
      <c r="AW26" s="163" t="str">
        <f t="shared" si="6"/>
        <v>ziadne akva</v>
      </c>
      <c r="AX26" s="164" t="str">
        <f t="shared" si="7"/>
        <v>ziadne akva</v>
      </c>
      <c r="AY26" s="45"/>
      <c r="AZ26" s="46"/>
    </row>
    <row r="27" spans="1:52" ht="15" customHeight="1" x14ac:dyDescent="0.25">
      <c r="A27" s="444" t="s">
        <v>255</v>
      </c>
      <c r="B27" s="445"/>
      <c r="C27" s="447"/>
      <c r="D27" s="301"/>
      <c r="E27" s="174" t="s">
        <v>56</v>
      </c>
      <c r="F27" s="218" t="s">
        <v>56</v>
      </c>
      <c r="G27" s="114"/>
      <c r="H27" s="150" t="str">
        <f>'pomocne tabulky'!K27</f>
        <v>V</v>
      </c>
      <c r="I27" s="262">
        <f>'pomocne tabulky'!L27</f>
        <v>50.941499999999998</v>
      </c>
      <c r="J27" s="25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247"/>
      <c r="AF27" s="233">
        <f>IF(D25, 'pomocne tabulky'!V18, 0)</f>
        <v>0</v>
      </c>
      <c r="AG27" s="186"/>
      <c r="AH27" s="186"/>
      <c r="AI27" s="186"/>
      <c r="AJ27" s="186"/>
      <c r="AK27" s="223"/>
      <c r="AL27" s="186"/>
      <c r="AM27" s="186"/>
      <c r="AN27" s="186"/>
      <c r="AO27" s="186"/>
      <c r="AP27" s="186"/>
      <c r="AQ27" s="186"/>
      <c r="AR27" s="186"/>
      <c r="AS27" s="186"/>
      <c r="AT27" s="272"/>
      <c r="AU27" s="267">
        <f t="shared" si="4"/>
        <v>0</v>
      </c>
      <c r="AV27" s="163">
        <f t="shared" si="5"/>
        <v>0</v>
      </c>
      <c r="AW27" s="163" t="str">
        <f t="shared" si="6"/>
        <v>ziadne akva</v>
      </c>
      <c r="AX27" s="164" t="str">
        <f t="shared" si="7"/>
        <v>ziadne akva</v>
      </c>
      <c r="AY27" s="45"/>
      <c r="AZ27" s="46"/>
    </row>
    <row r="28" spans="1:52" ht="15" customHeight="1" thickBot="1" x14ac:dyDescent="0.3">
      <c r="A28" s="444" t="s">
        <v>256</v>
      </c>
      <c r="B28" s="445"/>
      <c r="C28" s="447"/>
      <c r="D28" s="301"/>
      <c r="E28" s="174" t="s">
        <v>56</v>
      </c>
      <c r="F28" s="218" t="s">
        <v>56</v>
      </c>
      <c r="G28" s="184"/>
      <c r="H28" s="157" t="str">
        <f>'pomocne tabulky'!K28</f>
        <v>Se</v>
      </c>
      <c r="I28" s="263">
        <f>'pomocne tabulky'!L28</f>
        <v>78.959999999999994</v>
      </c>
      <c r="J28" s="257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248"/>
      <c r="AF28" s="235">
        <f>IF(D25, 'pomocne tabulky'!V19, 0)</f>
        <v>0</v>
      </c>
      <c r="AG28" s="188"/>
      <c r="AH28" s="188"/>
      <c r="AI28" s="188"/>
      <c r="AJ28" s="188"/>
      <c r="AK28" s="224"/>
      <c r="AL28" s="188"/>
      <c r="AM28" s="188"/>
      <c r="AN28" s="188"/>
      <c r="AO28" s="188"/>
      <c r="AP28" s="188"/>
      <c r="AQ28" s="188"/>
      <c r="AR28" s="188"/>
      <c r="AS28" s="188"/>
      <c r="AT28" s="274"/>
      <c r="AU28" s="268">
        <f t="shared" si="4"/>
        <v>0</v>
      </c>
      <c r="AV28" s="165">
        <f t="shared" si="5"/>
        <v>0</v>
      </c>
      <c r="AW28" s="165" t="str">
        <f t="shared" si="6"/>
        <v>ziadne akva</v>
      </c>
      <c r="AX28" s="166" t="str">
        <f t="shared" ref="AX28:AX33" si="8">IF($AX$78=0,"ziadne akva",IF($D$43=0,"ziadny roztok",IF($D$51=0,"ziadna davka",((AU27*$D$51)/($AX$78*1000)))))</f>
        <v>ziadne akva</v>
      </c>
      <c r="AY28" s="45"/>
      <c r="AZ28" s="46"/>
    </row>
    <row r="29" spans="1:52" ht="15" customHeight="1" thickTop="1" x14ac:dyDescent="0.25">
      <c r="A29" s="444" t="s">
        <v>257</v>
      </c>
      <c r="B29" s="445"/>
      <c r="C29" s="447"/>
      <c r="D29" s="301"/>
      <c r="E29" s="174" t="s">
        <v>56</v>
      </c>
      <c r="F29" s="218" t="s">
        <v>56</v>
      </c>
      <c r="G29" s="184"/>
      <c r="H29" s="151" t="str">
        <f>'pomocne tabulky'!K29</f>
        <v>SO4</v>
      </c>
      <c r="I29" s="264">
        <f>'pomocne tabulky'!L29</f>
        <v>96.057600000000008</v>
      </c>
      <c r="J29" s="258">
        <f>I29*E3</f>
        <v>3.195819881367906</v>
      </c>
      <c r="K29" s="119">
        <f>I29*E4</f>
        <v>0</v>
      </c>
      <c r="L29" s="119">
        <f>I29*E5</f>
        <v>0</v>
      </c>
      <c r="M29" s="119">
        <f>I29*E6</f>
        <v>0</v>
      </c>
      <c r="N29" s="120"/>
      <c r="O29" s="119">
        <f>I29*E8</f>
        <v>1.0473746974247968</v>
      </c>
      <c r="P29" s="120"/>
      <c r="Q29" s="119">
        <f>I29*E10</f>
        <v>0</v>
      </c>
      <c r="R29" s="120"/>
      <c r="S29" s="120"/>
      <c r="T29" s="120"/>
      <c r="U29" s="120"/>
      <c r="V29" s="121"/>
      <c r="W29" s="121"/>
      <c r="X29" s="121"/>
      <c r="Y29" s="120"/>
      <c r="Z29" s="120"/>
      <c r="AA29" s="120"/>
      <c r="AB29" s="120"/>
      <c r="AC29" s="120"/>
      <c r="AD29" s="120"/>
      <c r="AE29" s="249"/>
      <c r="AF29" s="236"/>
      <c r="AG29" s="177"/>
      <c r="AH29" s="177"/>
      <c r="AI29" s="177"/>
      <c r="AJ29" s="177"/>
      <c r="AK29" s="222">
        <f>IF(D30, 'pomocne tabulky'!AE21, 0)</f>
        <v>0</v>
      </c>
      <c r="AL29" s="196"/>
      <c r="AM29" s="196"/>
      <c r="AN29" s="196"/>
      <c r="AO29" s="177"/>
      <c r="AP29" s="177"/>
      <c r="AQ29" s="177"/>
      <c r="AR29" s="177"/>
      <c r="AS29" s="177"/>
      <c r="AT29" s="275"/>
      <c r="AU29" s="266">
        <f t="shared" si="4"/>
        <v>16692.086533866408</v>
      </c>
      <c r="AV29" s="167">
        <f t="shared" si="5"/>
        <v>10.598150180232642</v>
      </c>
      <c r="AW29" s="167" t="str">
        <f t="shared" si="6"/>
        <v>ziadne akva</v>
      </c>
      <c r="AX29" s="168" t="str">
        <f t="shared" si="8"/>
        <v>ziadne akva</v>
      </c>
      <c r="AY29" s="45"/>
      <c r="AZ29" s="46"/>
    </row>
    <row r="30" spans="1:52" ht="15" customHeight="1" x14ac:dyDescent="0.25">
      <c r="A30" s="475" t="s">
        <v>289</v>
      </c>
      <c r="B30" s="476"/>
      <c r="C30" s="477"/>
      <c r="D30" s="301"/>
      <c r="E30" s="174" t="s">
        <v>56</v>
      </c>
      <c r="F30" s="218" t="s">
        <v>56</v>
      </c>
      <c r="G30" s="114"/>
      <c r="H30" s="148" t="str">
        <f>'pomocne tabulky'!K30</f>
        <v>PO4</v>
      </c>
      <c r="I30" s="260">
        <f>'pomocne tabulky'!L30</f>
        <v>94.971360000000004</v>
      </c>
      <c r="J30" s="253"/>
      <c r="K30" s="117"/>
      <c r="L30" s="118"/>
      <c r="M30" s="118"/>
      <c r="N30" s="117"/>
      <c r="O30" s="117"/>
      <c r="P30" s="117"/>
      <c r="Q30" s="117"/>
      <c r="R30" s="117"/>
      <c r="S30" s="116">
        <f>I30*E12</f>
        <v>0.25821555471654078</v>
      </c>
      <c r="T30" s="117"/>
      <c r="U30" s="117"/>
      <c r="V30" s="118"/>
      <c r="W30" s="118"/>
      <c r="X30" s="118"/>
      <c r="Y30" s="117"/>
      <c r="Z30" s="117"/>
      <c r="AA30" s="117"/>
      <c r="AB30" s="117"/>
      <c r="AC30" s="117"/>
      <c r="AD30" s="117"/>
      <c r="AE30" s="243"/>
      <c r="AF30" s="237"/>
      <c r="AG30" s="155"/>
      <c r="AH30" s="155"/>
      <c r="AI30" s="155"/>
      <c r="AJ30" s="191">
        <f>IF(D29, 'pomocne tabulky'!V36, 0)</f>
        <v>0</v>
      </c>
      <c r="AK30" s="225"/>
      <c r="AL30" s="197"/>
      <c r="AM30" s="197"/>
      <c r="AN30" s="197"/>
      <c r="AO30" s="155"/>
      <c r="AP30" s="155"/>
      <c r="AQ30" s="155"/>
      <c r="AR30" s="155"/>
      <c r="AS30" s="191">
        <f>IF(D38,'pomocne tabulky'!Z50, 0)</f>
        <v>0</v>
      </c>
      <c r="AT30" s="273">
        <f>IF(D39, 'pomocne tabulky'!Z61, 0)</f>
        <v>0</v>
      </c>
      <c r="AU30" s="267">
        <f t="shared" si="4"/>
        <v>1015.7809885176572</v>
      </c>
      <c r="AV30" s="163">
        <f t="shared" si="5"/>
        <v>0.64494031016994102</v>
      </c>
      <c r="AW30" s="163" t="str">
        <f t="shared" si="6"/>
        <v>ziadne akva</v>
      </c>
      <c r="AX30" s="164" t="str">
        <f t="shared" si="8"/>
        <v>ziadne akva</v>
      </c>
      <c r="AY30" s="45"/>
      <c r="AZ30" s="46"/>
    </row>
    <row r="31" spans="1:52" ht="15" customHeight="1" x14ac:dyDescent="0.25">
      <c r="A31" s="444" t="s">
        <v>301</v>
      </c>
      <c r="B31" s="445"/>
      <c r="C31" s="447"/>
      <c r="D31" s="301"/>
      <c r="E31" s="174" t="s">
        <v>56</v>
      </c>
      <c r="F31" s="218" t="s">
        <v>56</v>
      </c>
      <c r="G31" s="114"/>
      <c r="H31" s="148" t="str">
        <f>'pomocne tabulky'!K31</f>
        <v>NO3</v>
      </c>
      <c r="I31" s="260">
        <f>'pomocne tabulky'!L31</f>
        <v>62.004899999999999</v>
      </c>
      <c r="J31" s="253"/>
      <c r="K31" s="117"/>
      <c r="L31" s="117"/>
      <c r="M31" s="117"/>
      <c r="N31" s="117"/>
      <c r="O31" s="117"/>
      <c r="P31" s="116">
        <f>I31*E9</f>
        <v>2.5757896881602163</v>
      </c>
      <c r="Q31" s="117"/>
      <c r="R31" s="117"/>
      <c r="S31" s="117"/>
      <c r="T31" s="117"/>
      <c r="U31" s="116">
        <f>I31*E14</f>
        <v>0</v>
      </c>
      <c r="V31" s="116">
        <f>2*I31*E15</f>
        <v>0</v>
      </c>
      <c r="W31" s="116">
        <f>2*I31*E16</f>
        <v>0</v>
      </c>
      <c r="X31" s="118"/>
      <c r="Y31" s="117"/>
      <c r="Z31" s="117"/>
      <c r="AA31" s="117"/>
      <c r="AB31" s="117"/>
      <c r="AC31" s="117"/>
      <c r="AD31" s="117"/>
      <c r="AE31" s="243"/>
      <c r="AF31" s="237"/>
      <c r="AG31" s="176"/>
      <c r="AH31" s="176"/>
      <c r="AI31" s="189">
        <f>IF(D28, 'pomocne tabulky'!V30, 0)</f>
        <v>0</v>
      </c>
      <c r="AJ31" s="176"/>
      <c r="AK31" s="226"/>
      <c r="AL31" s="198"/>
      <c r="AM31" s="198"/>
      <c r="AN31" s="198"/>
      <c r="AO31" s="176"/>
      <c r="AP31" s="176"/>
      <c r="AQ31" s="176"/>
      <c r="AR31" s="176"/>
      <c r="AS31" s="189">
        <f>IF(D38,'pomocne tabulky'!Z48, 0)</f>
        <v>0</v>
      </c>
      <c r="AT31" s="276">
        <f>IF(D39, 'pomocne tabulky'!Z59, 0)</f>
        <v>0</v>
      </c>
      <c r="AU31" s="267">
        <f t="shared" si="4"/>
        <v>10132.767557419997</v>
      </c>
      <c r="AV31" s="163">
        <f t="shared" si="5"/>
        <v>6.433503211060315</v>
      </c>
      <c r="AW31" s="163" t="str">
        <f t="shared" si="6"/>
        <v>ziadne akva</v>
      </c>
      <c r="AX31" s="164" t="str">
        <f t="shared" si="8"/>
        <v>ziadne akva</v>
      </c>
      <c r="AY31" s="45"/>
      <c r="AZ31" s="46"/>
    </row>
    <row r="32" spans="1:52" ht="15" customHeight="1" x14ac:dyDescent="0.25">
      <c r="A32" s="444" t="s">
        <v>306</v>
      </c>
      <c r="B32" s="445"/>
      <c r="C32" s="447"/>
      <c r="D32" s="301"/>
      <c r="E32" s="174" t="s">
        <v>56</v>
      </c>
      <c r="F32" s="218" t="s">
        <v>56</v>
      </c>
      <c r="G32" s="114"/>
      <c r="H32" s="148" t="str">
        <f>'pomocne tabulky'!K32</f>
        <v>NH4</v>
      </c>
      <c r="I32" s="260">
        <f>'pomocne tabulky'!L32</f>
        <v>18.038460000000001</v>
      </c>
      <c r="J32" s="25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>
        <f>I32*E14</f>
        <v>0</v>
      </c>
      <c r="V32" s="124"/>
      <c r="W32" s="124"/>
      <c r="X32" s="124"/>
      <c r="Y32" s="124"/>
      <c r="Z32" s="122"/>
      <c r="AA32" s="122"/>
      <c r="AB32" s="122"/>
      <c r="AC32" s="122"/>
      <c r="AD32" s="122"/>
      <c r="AE32" s="245"/>
      <c r="AF32" s="238"/>
      <c r="AG32" s="155"/>
      <c r="AH32" s="155"/>
      <c r="AI32" s="155"/>
      <c r="AJ32" s="155"/>
      <c r="AK32" s="225"/>
      <c r="AL32" s="199"/>
      <c r="AM32" s="199"/>
      <c r="AN32" s="199"/>
      <c r="AO32" s="155"/>
      <c r="AP32" s="155"/>
      <c r="AQ32" s="155"/>
      <c r="AR32" s="155"/>
      <c r="AS32" s="191">
        <f>IF(D38, 'pomocne tabulky'!Z49, 0)</f>
        <v>0</v>
      </c>
      <c r="AT32" s="273">
        <f>IF(D39, 'pomocne tabulky'!Z60, 0)</f>
        <v>0</v>
      </c>
      <c r="AU32" s="267">
        <f t="shared" si="4"/>
        <v>0</v>
      </c>
      <c r="AV32" s="163">
        <f t="shared" si="5"/>
        <v>0</v>
      </c>
      <c r="AW32" s="163" t="str">
        <f t="shared" si="6"/>
        <v>ziadne akva</v>
      </c>
      <c r="AX32" s="164" t="str">
        <f t="shared" si="8"/>
        <v>ziadne akva</v>
      </c>
      <c r="AY32" s="45"/>
      <c r="AZ32" s="46"/>
    </row>
    <row r="33" spans="1:52" ht="15" customHeight="1" x14ac:dyDescent="0.25">
      <c r="A33" s="444" t="s">
        <v>307</v>
      </c>
      <c r="B33" s="445"/>
      <c r="C33" s="447"/>
      <c r="D33" s="301"/>
      <c r="E33" s="174" t="s">
        <v>56</v>
      </c>
      <c r="F33" s="218" t="s">
        <v>56</v>
      </c>
      <c r="G33" s="114"/>
      <c r="H33" s="148" t="str">
        <f>'pomocne tabulky'!K33</f>
        <v>NH2</v>
      </c>
      <c r="I33" s="260">
        <f>'pomocne tabulky'!L33</f>
        <v>16.022580000000001</v>
      </c>
      <c r="J33" s="25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16">
        <f>I33*E17</f>
        <v>0</v>
      </c>
      <c r="Y33" s="127"/>
      <c r="Z33" s="127"/>
      <c r="AA33" s="127"/>
      <c r="AB33" s="127"/>
      <c r="AC33" s="127"/>
      <c r="AD33" s="127"/>
      <c r="AE33" s="247"/>
      <c r="AF33" s="239"/>
      <c r="AG33" s="158"/>
      <c r="AH33" s="158"/>
      <c r="AI33" s="158"/>
      <c r="AJ33" s="158"/>
      <c r="AK33" s="227"/>
      <c r="AL33" s="158"/>
      <c r="AM33" s="158"/>
      <c r="AN33" s="158"/>
      <c r="AO33" s="158"/>
      <c r="AP33" s="158"/>
      <c r="AQ33" s="158"/>
      <c r="AR33" s="158"/>
      <c r="AS33" s="158"/>
      <c r="AT33" s="247"/>
      <c r="AU33" s="267">
        <f t="shared" si="4"/>
        <v>0</v>
      </c>
      <c r="AV33" s="163">
        <f t="shared" si="5"/>
        <v>0</v>
      </c>
      <c r="AW33" s="163" t="str">
        <f t="shared" si="6"/>
        <v>ziadne akva</v>
      </c>
      <c r="AX33" s="164" t="str">
        <f t="shared" si="8"/>
        <v>ziadne akva</v>
      </c>
      <c r="AY33" s="45"/>
      <c r="AZ33" s="46"/>
    </row>
    <row r="34" spans="1:52" ht="15" customHeight="1" x14ac:dyDescent="0.25">
      <c r="A34" s="444" t="s">
        <v>262</v>
      </c>
      <c r="B34" s="445"/>
      <c r="C34" s="447"/>
      <c r="D34" s="301"/>
      <c r="E34" s="174" t="s">
        <v>56</v>
      </c>
      <c r="F34" s="218" t="s">
        <v>56</v>
      </c>
      <c r="G34" s="114"/>
      <c r="H34" s="148" t="str">
        <f>'pomocne tabulky'!K34</f>
        <v>H2O</v>
      </c>
      <c r="I34" s="260">
        <f>'pomocne tabulky'!L34</f>
        <v>18.015280000000001</v>
      </c>
      <c r="J34" s="258">
        <f>I34*7*E3</f>
        <v>4.1955569361181961</v>
      </c>
      <c r="K34" s="120"/>
      <c r="L34" s="119">
        <f>I34*2*E5</f>
        <v>0</v>
      </c>
      <c r="M34" s="120"/>
      <c r="N34" s="120"/>
      <c r="O34" s="120"/>
      <c r="P34" s="120"/>
      <c r="Q34" s="119">
        <f>I34*7*E10</f>
        <v>0</v>
      </c>
      <c r="R34" s="120"/>
      <c r="S34" s="120"/>
      <c r="T34" s="120"/>
      <c r="U34" s="120"/>
      <c r="V34" s="119">
        <f>4*I34*E15</f>
        <v>0</v>
      </c>
      <c r="W34" s="119">
        <f>6*I34*E16</f>
        <v>0</v>
      </c>
      <c r="X34" s="120"/>
      <c r="Y34" s="120"/>
      <c r="Z34" s="120"/>
      <c r="AA34" s="120"/>
      <c r="AB34" s="120"/>
      <c r="AC34" s="120"/>
      <c r="AD34" s="120"/>
      <c r="AE34" s="249"/>
      <c r="AF34" s="240"/>
      <c r="AG34" s="120"/>
      <c r="AH34" s="120"/>
      <c r="AI34" s="120"/>
      <c r="AJ34" s="120"/>
      <c r="AK34" s="228"/>
      <c r="AL34" s="120"/>
      <c r="AM34" s="120"/>
      <c r="AN34" s="120"/>
      <c r="AO34" s="120"/>
      <c r="AP34" s="120"/>
      <c r="AQ34" s="120"/>
      <c r="AR34" s="120"/>
      <c r="AS34" s="120"/>
      <c r="AT34" s="249"/>
      <c r="AU34" s="269" t="s">
        <v>56</v>
      </c>
      <c r="AV34" s="169" t="s">
        <v>56</v>
      </c>
      <c r="AW34" s="169" t="s">
        <v>56</v>
      </c>
      <c r="AX34" s="170" t="s">
        <v>56</v>
      </c>
      <c r="AY34" s="45"/>
      <c r="AZ34" s="46"/>
    </row>
    <row r="35" spans="1:52" ht="15.75" thickBot="1" x14ac:dyDescent="0.3">
      <c r="A35" s="444" t="s">
        <v>263</v>
      </c>
      <c r="B35" s="445"/>
      <c r="C35" s="447"/>
      <c r="D35" s="301"/>
      <c r="E35" s="174" t="s">
        <v>56</v>
      </c>
      <c r="F35" s="218" t="s">
        <v>56</v>
      </c>
      <c r="G35" s="114"/>
      <c r="H35" s="152" t="s">
        <v>100</v>
      </c>
      <c r="I35" s="265" t="s">
        <v>56</v>
      </c>
      <c r="J35" s="241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250"/>
      <c r="AF35" s="241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250"/>
      <c r="AU35" s="270" t="s">
        <v>56</v>
      </c>
      <c r="AV35" s="171" t="s">
        <v>56</v>
      </c>
      <c r="AW35" s="171" t="s">
        <v>56</v>
      </c>
      <c r="AX35" s="172" t="s">
        <v>56</v>
      </c>
      <c r="AY35" s="45"/>
      <c r="AZ35" s="46"/>
    </row>
    <row r="36" spans="1:52" x14ac:dyDescent="0.25">
      <c r="A36" s="444" t="s">
        <v>264</v>
      </c>
      <c r="B36" s="445"/>
      <c r="C36" s="447"/>
      <c r="D36" s="301"/>
      <c r="E36" s="174" t="s">
        <v>56</v>
      </c>
      <c r="F36" s="218" t="s">
        <v>56</v>
      </c>
      <c r="G36" s="114"/>
      <c r="AY36" s="45"/>
      <c r="AZ36" s="46"/>
    </row>
    <row r="37" spans="1:52" x14ac:dyDescent="0.25">
      <c r="A37" s="444" t="s">
        <v>265</v>
      </c>
      <c r="B37" s="445"/>
      <c r="C37" s="447"/>
      <c r="D37" s="301"/>
      <c r="E37" s="174" t="s">
        <v>56</v>
      </c>
      <c r="F37" s="218" t="s">
        <v>56</v>
      </c>
      <c r="G37" s="114"/>
      <c r="H37" s="489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45"/>
      <c r="AZ37" s="46"/>
    </row>
    <row r="38" spans="1:52" x14ac:dyDescent="0.25">
      <c r="A38" s="446" t="s">
        <v>266</v>
      </c>
      <c r="B38" s="445"/>
      <c r="C38" s="447"/>
      <c r="D38" s="301"/>
      <c r="E38" s="174" t="s">
        <v>56</v>
      </c>
      <c r="F38" s="218" t="s">
        <v>56</v>
      </c>
      <c r="G38" s="11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45"/>
      <c r="AZ38" s="46"/>
    </row>
    <row r="39" spans="1:52" ht="15.75" thickBot="1" x14ac:dyDescent="0.3">
      <c r="A39" s="446" t="s">
        <v>267</v>
      </c>
      <c r="B39" s="445"/>
      <c r="C39" s="447"/>
      <c r="D39" s="301"/>
      <c r="E39" s="174" t="s">
        <v>56</v>
      </c>
      <c r="F39" s="218" t="s">
        <v>56</v>
      </c>
      <c r="G39" s="11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45"/>
      <c r="AZ39" s="46"/>
    </row>
    <row r="40" spans="1:52" ht="15.75" thickBot="1" x14ac:dyDescent="0.3">
      <c r="A40" s="448" t="s">
        <v>117</v>
      </c>
      <c r="B40" s="449"/>
      <c r="C40" s="449"/>
      <c r="D40" s="125">
        <f>SUM(D3:D24)</f>
        <v>14.67</v>
      </c>
      <c r="E40" s="112" t="s">
        <v>56</v>
      </c>
      <c r="F40" s="126">
        <f>SUM(F3:F21)</f>
        <v>39.100161982317516</v>
      </c>
      <c r="G40" s="11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45"/>
      <c r="AZ40" s="46"/>
    </row>
    <row r="41" spans="1:52" x14ac:dyDescent="0.25">
      <c r="A41" s="51"/>
      <c r="B41" s="51"/>
      <c r="C41" s="51"/>
      <c r="D41" s="128"/>
      <c r="E41" s="128"/>
      <c r="F41" s="128"/>
      <c r="G41" s="11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45"/>
      <c r="AZ41" s="46"/>
    </row>
    <row r="42" spans="1:52" ht="45" x14ac:dyDescent="0.25">
      <c r="A42" s="450"/>
      <c r="B42" s="451"/>
      <c r="C42" s="452"/>
      <c r="D42" s="129" t="s">
        <v>67</v>
      </c>
      <c r="E42" s="443" t="s">
        <v>68</v>
      </c>
      <c r="F42" s="443"/>
      <c r="G42" s="11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45"/>
      <c r="AZ42" s="46"/>
    </row>
    <row r="43" spans="1:52" x14ac:dyDescent="0.25">
      <c r="A43" s="441" t="s">
        <v>69</v>
      </c>
      <c r="B43" s="441"/>
      <c r="C43" s="441"/>
      <c r="D43" s="295">
        <v>250</v>
      </c>
      <c r="E43" s="442">
        <f>E44/'pomocne tabulky'!Q23</f>
        <v>254.20396486584991</v>
      </c>
      <c r="F43" s="442"/>
      <c r="G43" s="11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45"/>
      <c r="AZ43" s="46"/>
    </row>
    <row r="44" spans="1:52" x14ac:dyDescent="0.25">
      <c r="A44" s="441" t="s">
        <v>59</v>
      </c>
      <c r="B44" s="441"/>
      <c r="C44" s="441"/>
      <c r="D44" s="130">
        <f>D43*'pomocne tabulky'!Q23</f>
        <v>249.5</v>
      </c>
      <c r="E44" s="442">
        <f>D44+SUM(J34:AE34)</f>
        <v>253.69555693611821</v>
      </c>
      <c r="F44" s="442"/>
      <c r="G44" s="11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45"/>
      <c r="AZ44" s="46"/>
    </row>
    <row r="45" spans="1:52" x14ac:dyDescent="0.25">
      <c r="A45" s="441" t="s">
        <v>58</v>
      </c>
      <c r="B45" s="441"/>
      <c r="C45" s="441"/>
      <c r="D45" s="130">
        <f>(D44/'pomocne tabulky'!D18)</f>
        <v>13.849354547917102</v>
      </c>
      <c r="E45" s="442">
        <f>(E44/'pomocne tabulky'!D18)</f>
        <v>14.082243347653669</v>
      </c>
      <c r="F45" s="442"/>
      <c r="G45" s="11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45"/>
      <c r="AZ45" s="46"/>
    </row>
    <row r="46" spans="1:52" x14ac:dyDescent="0.25">
      <c r="A46" s="52"/>
      <c r="B46" s="52"/>
      <c r="C46" s="52"/>
      <c r="D46" s="52"/>
      <c r="E46" s="53"/>
      <c r="F46" s="53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45"/>
      <c r="AZ46" s="46"/>
    </row>
    <row r="47" spans="1:52" x14ac:dyDescent="0.25">
      <c r="A47" s="439" t="s">
        <v>135</v>
      </c>
      <c r="B47" s="439"/>
      <c r="C47" s="439"/>
      <c r="D47" s="440">
        <v>40</v>
      </c>
      <c r="E47" s="4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45"/>
      <c r="AZ47" s="46"/>
    </row>
    <row r="48" spans="1:52" x14ac:dyDescent="0.25">
      <c r="A48" s="439"/>
      <c r="B48" s="439"/>
      <c r="C48" s="439"/>
      <c r="D48" s="440"/>
      <c r="E48" s="45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45"/>
      <c r="AZ48" s="46"/>
    </row>
    <row r="49" spans="1:52" x14ac:dyDescent="0.25">
      <c r="A49" s="439" t="s">
        <v>136</v>
      </c>
      <c r="B49" s="439"/>
      <c r="C49" s="439"/>
      <c r="D49" s="440"/>
      <c r="E49" s="45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45"/>
      <c r="AZ49" s="46"/>
    </row>
    <row r="50" spans="1:52" x14ac:dyDescent="0.25">
      <c r="A50" s="439"/>
      <c r="B50" s="439"/>
      <c r="C50" s="439"/>
      <c r="D50" s="440"/>
      <c r="E50" s="45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45"/>
      <c r="AZ50" s="46"/>
    </row>
    <row r="51" spans="1:52" x14ac:dyDescent="0.25">
      <c r="A51" s="439" t="s">
        <v>137</v>
      </c>
      <c r="B51" s="439"/>
      <c r="C51" s="439"/>
      <c r="D51" s="440"/>
      <c r="E51" s="45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45"/>
      <c r="AZ51" s="46"/>
    </row>
    <row r="52" spans="1:52" x14ac:dyDescent="0.25">
      <c r="A52" s="439"/>
      <c r="B52" s="439"/>
      <c r="C52" s="439"/>
      <c r="D52" s="440"/>
      <c r="E52" s="45"/>
      <c r="G52" s="4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45"/>
      <c r="AZ52" s="46"/>
    </row>
    <row r="53" spans="1:52" x14ac:dyDescent="0.25">
      <c r="G53" s="44"/>
      <c r="AY53" s="45"/>
      <c r="AZ53" s="46"/>
    </row>
    <row r="54" spans="1:52" x14ac:dyDescent="0.25">
      <c r="G54" s="44"/>
      <c r="AY54" s="45"/>
      <c r="AZ54" s="46"/>
    </row>
    <row r="55" spans="1:52" x14ac:dyDescent="0.25">
      <c r="G55" s="44"/>
      <c r="AY55" s="45"/>
      <c r="AZ55" s="46"/>
    </row>
    <row r="56" spans="1:52" x14ac:dyDescent="0.25"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Z56" s="46"/>
    </row>
    <row r="57" spans="1:52" x14ac:dyDescent="0.25">
      <c r="AZ57" s="46"/>
    </row>
    <row r="58" spans="1:52" x14ac:dyDescent="0.25">
      <c r="A58" s="53"/>
      <c r="B58" s="53"/>
      <c r="C58" s="53"/>
      <c r="D58" s="53"/>
      <c r="AZ58" s="46"/>
    </row>
    <row r="77" spans="48:52" ht="30" x14ac:dyDescent="0.25">
      <c r="AV77" s="54" t="s">
        <v>157</v>
      </c>
      <c r="AW77" s="54" t="s">
        <v>158</v>
      </c>
      <c r="AX77" s="54" t="s">
        <v>159</v>
      </c>
      <c r="AZ77" s="46"/>
    </row>
    <row r="78" spans="48:52" x14ac:dyDescent="0.25">
      <c r="AV78" s="55">
        <f>hnojenie!E2</f>
        <v>63</v>
      </c>
      <c r="AW78" s="55">
        <f>hnojenie!E3</f>
        <v>0</v>
      </c>
      <c r="AX78" s="55">
        <f>hnojenie!E4</f>
        <v>0</v>
      </c>
      <c r="AZ78" s="46"/>
    </row>
  </sheetData>
  <sheetProtection password="A16E" sheet="1" objects="1" scenarios="1"/>
  <mergeCells count="58">
    <mergeCell ref="H37:AX52"/>
    <mergeCell ref="A36:C36"/>
    <mergeCell ref="A37:C37"/>
    <mergeCell ref="A31:C31"/>
    <mergeCell ref="A32:C32"/>
    <mergeCell ref="A33:C33"/>
    <mergeCell ref="A34:C34"/>
    <mergeCell ref="A35:C35"/>
    <mergeCell ref="A38:C38"/>
    <mergeCell ref="A39:C39"/>
    <mergeCell ref="A40:C40"/>
    <mergeCell ref="A42:C42"/>
    <mergeCell ref="E42:F42"/>
    <mergeCell ref="A43:C43"/>
    <mergeCell ref="E43:F43"/>
    <mergeCell ref="A44:C44"/>
    <mergeCell ref="A25:C25"/>
    <mergeCell ref="A28:C28"/>
    <mergeCell ref="A29:C29"/>
    <mergeCell ref="A27:C27"/>
    <mergeCell ref="A30:C30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3:C23"/>
    <mergeCell ref="AU1:AU2"/>
    <mergeCell ref="AV1:AV2"/>
    <mergeCell ref="AW1:AW2"/>
    <mergeCell ref="AX1:AX2"/>
    <mergeCell ref="A26:C26"/>
    <mergeCell ref="A7:C7"/>
    <mergeCell ref="A1:F1"/>
    <mergeCell ref="H1:H2"/>
    <mergeCell ref="I1:I2"/>
    <mergeCell ref="J1:AE1"/>
    <mergeCell ref="A5:C5"/>
    <mergeCell ref="A6:C6"/>
    <mergeCell ref="A2:C2"/>
    <mergeCell ref="A3:C3"/>
    <mergeCell ref="A4:C4"/>
    <mergeCell ref="AF1:AT1"/>
    <mergeCell ref="A49:C50"/>
    <mergeCell ref="D49:D50"/>
    <mergeCell ref="A51:C52"/>
    <mergeCell ref="D51:D52"/>
    <mergeCell ref="E44:F44"/>
    <mergeCell ref="A45:C45"/>
    <mergeCell ref="E45:F45"/>
    <mergeCell ref="A47:C48"/>
    <mergeCell ref="D47:D48"/>
  </mergeCells>
  <conditionalFormatting sqref="A47:C48 AV1:AV2 AV77">
    <cfRule type="expression" dxfId="27" priority="23">
      <formula>$AV$78</formula>
    </cfRule>
  </conditionalFormatting>
  <conditionalFormatting sqref="A49:C50 AW1:AW2 AW77">
    <cfRule type="expression" dxfId="26" priority="22">
      <formula>$AW$78</formula>
    </cfRule>
  </conditionalFormatting>
  <conditionalFormatting sqref="A51:C52 AX77 AX1:AX2">
    <cfRule type="expression" dxfId="25" priority="21">
      <formula>$AX$78</formula>
    </cfRule>
  </conditionalFormatting>
  <conditionalFormatting sqref="AX3:AX35 D51:D52">
    <cfRule type="expression" dxfId="24" priority="20">
      <formula>($AX$78=0)</formula>
    </cfRule>
  </conditionalFormatting>
  <conditionalFormatting sqref="AW3:AW35 D49:D50">
    <cfRule type="expression" dxfId="23" priority="19">
      <formula>($AW$78=0)</formula>
    </cfRule>
  </conditionalFormatting>
  <conditionalFormatting sqref="AV22:AV35 AV3:AW21 D47:D48">
    <cfRule type="expression" dxfId="22" priority="18">
      <formula>($AV$78=0)</formula>
    </cfRule>
  </conditionalFormatting>
  <conditionalFormatting sqref="AX22:AX35">
    <cfRule type="expression" dxfId="21" priority="17">
      <formula>($AX$78=0)</formula>
    </cfRule>
  </conditionalFormatting>
  <conditionalFormatting sqref="AW22:AW35">
    <cfRule type="expression" dxfId="20" priority="16">
      <formula>($AW$78=0)</formula>
    </cfRule>
  </conditionalFormatting>
  <conditionalFormatting sqref="AX22:AX33">
    <cfRule type="expression" dxfId="19" priority="15">
      <formula>($AX$78=0)</formula>
    </cfRule>
  </conditionalFormatting>
  <conditionalFormatting sqref="AW22:AW33">
    <cfRule type="expression" dxfId="18" priority="14">
      <formula>($AW$78=0)</formula>
    </cfRule>
  </conditionalFormatting>
  <conditionalFormatting sqref="AX22:AX33">
    <cfRule type="expression" dxfId="17" priority="13">
      <formula>($AX$78=0)</formula>
    </cfRule>
  </conditionalFormatting>
  <conditionalFormatting sqref="AW22:AW33">
    <cfRule type="expression" dxfId="16" priority="12">
      <formula>($AW$78=0)</formula>
    </cfRule>
  </conditionalFormatting>
  <conditionalFormatting sqref="AW22:AW33">
    <cfRule type="expression" dxfId="15" priority="11">
      <formula>($AV$78=0)</formula>
    </cfRule>
  </conditionalFormatting>
  <conditionalFormatting sqref="AW22:AW33">
    <cfRule type="expression" dxfId="14" priority="10">
      <formula>($AV$78=0)</formula>
    </cfRule>
  </conditionalFormatting>
  <pageMargins left="0.39370078740157483" right="0.39370078740157483" top="0.39370078740157483" bottom="0.39370078740157483" header="0.31496062992125984" footer="0.31496062992125984"/>
  <pageSetup paperSize="9" scale="89" orientation="portrait" horizontalDpi="300" verticalDpi="300" copies="0" r:id="rId1"/>
  <colBreaks count="1" manualBreakCount="1">
    <brk id="3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N</vt:lpstr>
      <vt:lpstr>hnojenie</vt:lpstr>
      <vt:lpstr>hnojenie dlhodobo</vt:lpstr>
      <vt:lpstr>KNO3</vt:lpstr>
      <vt:lpstr>KH2PO4</vt:lpstr>
      <vt:lpstr>K2SO4</vt:lpstr>
      <vt:lpstr>MgSO4</vt:lpstr>
      <vt:lpstr>Tenso</vt:lpstr>
      <vt:lpstr>MAKRO</vt:lpstr>
      <vt:lpstr>pomocne tabulky</vt:lpstr>
      <vt:lpstr>#7</vt:lpstr>
      <vt:lpstr>Legenda</vt:lpstr>
      <vt:lpstr>History rev.</vt:lpstr>
      <vt:lpstr>Zdroje a inšpirácie</vt:lpstr>
      <vt:lpstr>'#7'!Print_Area</vt:lpstr>
      <vt:lpstr>hnojenie!Print_Area</vt:lpstr>
      <vt:lpstr>K2SO4!Print_Area</vt:lpstr>
      <vt:lpstr>KH2PO4!Print_Area</vt:lpstr>
      <vt:lpstr>'KNO3'!Print_Area</vt:lpstr>
      <vt:lpstr>Legenda!Print_Area</vt:lpstr>
      <vt:lpstr>MAKRO!Print_Area</vt:lpstr>
      <vt:lpstr>MgSO4!Print_Area</vt:lpstr>
      <vt:lpstr>N!Print_Area</vt:lpstr>
      <vt:lpstr>'pomocne tabulky'!Print_Area</vt:lpstr>
      <vt:lpstr>Tenso!Print_Area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chnuro</dc:creator>
  <cp:lastModifiedBy>MaTiseK</cp:lastModifiedBy>
  <cp:lastPrinted>2012-05-01T21:20:19Z</cp:lastPrinted>
  <dcterms:created xsi:type="dcterms:W3CDTF">2011-11-20T15:01:39Z</dcterms:created>
  <dcterms:modified xsi:type="dcterms:W3CDTF">2016-02-10T22:10:43Z</dcterms:modified>
</cp:coreProperties>
</file>